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830" windowHeight="8565"/>
  </bookViews>
  <sheets>
    <sheet name="52" sheetId="4" r:id="rId1"/>
  </sheets>
  <definedNames>
    <definedName name="_xlnm.Print_Area" localSheetId="0">'52'!$C$4:$BJ$63</definedName>
    <definedName name="Z_9D1F7A71_81C5_11D5_9DE1_00C0DF226DEA_.wvu.Cols" localSheetId="0" hidden="1">'52'!$D:$D</definedName>
    <definedName name="Z_9D1F7A71_81C5_11D5_9DE1_00C0DF226DEA_.wvu.Rows" localSheetId="0" hidden="1">'52'!$46:$46</definedName>
    <definedName name="Z_9D1F7A72_81C5_11D5_9DE1_00C0DF226DEA_.wvu.Cols" localSheetId="0" hidden="1">'52'!$D:$D</definedName>
    <definedName name="Z_9D1F7A72_81C5_11D5_9DE1_00C0DF226DEA_.wvu.Rows" localSheetId="0" hidden="1">'52'!$46:$46</definedName>
    <definedName name="Z_9D1F7A73_81C5_11D5_9DE1_00C0DF226DEA_.wvu.Cols" localSheetId="0" hidden="1">'52'!$D:$D</definedName>
    <definedName name="Z_9D1F7A73_81C5_11D5_9DE1_00C0DF226DEA_.wvu.Rows" localSheetId="0" hidden="1">'52'!$46:$46</definedName>
    <definedName name="Z_9D1F7A74_81C5_11D5_9DE1_00C0DF226DEA_.wvu.Cols" localSheetId="0" hidden="1">'52'!$D:$D</definedName>
    <definedName name="Z_9D1F7A74_81C5_11D5_9DE1_00C0DF226DEA_.wvu.Rows" localSheetId="0" hidden="1">'52'!$46:$46</definedName>
    <definedName name="Z_9D1F7A75_81C5_11D5_9DE1_00C0DF226DEA_.wvu.Cols" localSheetId="0" hidden="1">'52'!$D:$D</definedName>
    <definedName name="Z_9D1F7A75_81C5_11D5_9DE1_00C0DF226DEA_.wvu.Rows" localSheetId="0" hidden="1">'52'!$46:$46</definedName>
    <definedName name="Z_9D1F7A76_81C5_11D5_9DE1_00C0DF226DEA_.wvu.Cols" localSheetId="0" hidden="1">'52'!$D:$D</definedName>
    <definedName name="Z_9D1F7A76_81C5_11D5_9DE1_00C0DF226DEA_.wvu.Rows" localSheetId="0" hidden="1">'52'!$46:$46</definedName>
    <definedName name="Z_9D1F7A77_81C5_11D5_9DE1_00C0DF226DEA_.wvu.Cols" localSheetId="0" hidden="1">'52'!$D:$D</definedName>
    <definedName name="Z_9D1F7A77_81C5_11D5_9DE1_00C0DF226DEA_.wvu.Rows" localSheetId="0" hidden="1">'52'!$46:$46</definedName>
    <definedName name="Z_9D1F7A78_81C5_11D5_9DE1_00C0DF226DEA_.wvu.Cols" localSheetId="0" hidden="1">'52'!$D:$D</definedName>
    <definedName name="Z_9D1F7A78_81C5_11D5_9DE1_00C0DF226DEA_.wvu.Rows" localSheetId="0" hidden="1">'52'!$46:$46</definedName>
    <definedName name="Z_9D1F7A79_81C5_11D5_9DE1_00C0DF226DEA_.wvu.Cols" localSheetId="0" hidden="1">'52'!$D:$D</definedName>
    <definedName name="Z_9D1F7A79_81C5_11D5_9DE1_00C0DF226DEA_.wvu.Rows" localSheetId="0" hidden="1">'52'!$46:$46</definedName>
  </definedNames>
  <calcPr calcId="144525" fullCalcOnLoad="1"/>
</workbook>
</file>

<file path=xl/calcChain.xml><?xml version="1.0" encoding="utf-8"?>
<calcChain xmlns="http://schemas.openxmlformats.org/spreadsheetml/2006/main">
  <c r="AE31" i="4" l="1"/>
  <c r="AE23" i="4"/>
  <c r="AE16" i="4"/>
  <c r="AD32" i="4"/>
  <c r="AF32" i="4"/>
  <c r="AD31" i="4"/>
  <c r="AD19" i="4"/>
  <c r="AD16" i="4"/>
  <c r="Y44" i="4"/>
  <c r="X37" i="4"/>
  <c r="R31" i="4"/>
  <c r="R22" i="4"/>
  <c r="R34" i="4"/>
  <c r="R19" i="4"/>
  <c r="S19" i="4"/>
  <c r="H14" i="4"/>
  <c r="K14" i="4"/>
  <c r="N14" i="4"/>
  <c r="Q14" i="4"/>
  <c r="T14" i="4"/>
  <c r="W14" i="4"/>
  <c r="Z14" i="4"/>
  <c r="AC14" i="4"/>
  <c r="AF14" i="4"/>
  <c r="AI14" i="4"/>
  <c r="AL14" i="4"/>
  <c r="F15" i="4"/>
  <c r="G15" i="4"/>
  <c r="I15" i="4"/>
  <c r="K15" i="4"/>
  <c r="J15" i="4"/>
  <c r="L15" i="4"/>
  <c r="M15" i="4"/>
  <c r="O15" i="4"/>
  <c r="P15" i="4"/>
  <c r="U15" i="4"/>
  <c r="V15" i="4"/>
  <c r="X15" i="4"/>
  <c r="Z15" i="4"/>
  <c r="Y15" i="4"/>
  <c r="AA15" i="4"/>
  <c r="AB15" i="4"/>
  <c r="AC15" i="4"/>
  <c r="AJ15" i="4"/>
  <c r="H16" i="4"/>
  <c r="K16" i="4"/>
  <c r="N16" i="4"/>
  <c r="Q16" i="4"/>
  <c r="T16" i="4"/>
  <c r="W16" i="4"/>
  <c r="Z16" i="4"/>
  <c r="AC16" i="4"/>
  <c r="AF16" i="4"/>
  <c r="AI16" i="4"/>
  <c r="AL16" i="4"/>
  <c r="H17" i="4"/>
  <c r="K17" i="4"/>
  <c r="N17" i="4"/>
  <c r="Q17" i="4"/>
  <c r="T17" i="4"/>
  <c r="W17" i="4"/>
  <c r="Z17" i="4"/>
  <c r="AC17" i="4"/>
  <c r="AF17" i="4"/>
  <c r="AI17" i="4"/>
  <c r="AL17" i="4"/>
  <c r="H18" i="4"/>
  <c r="K18" i="4"/>
  <c r="N18" i="4"/>
  <c r="Q18" i="4"/>
  <c r="T18" i="4"/>
  <c r="W18" i="4"/>
  <c r="Z18" i="4"/>
  <c r="AC18" i="4"/>
  <c r="AF18" i="4"/>
  <c r="AI18" i="4"/>
  <c r="AL18" i="4"/>
  <c r="H19" i="4"/>
  <c r="K19" i="4"/>
  <c r="N19" i="4"/>
  <c r="Q19" i="4"/>
  <c r="R15" i="4"/>
  <c r="W19" i="4"/>
  <c r="Z19" i="4"/>
  <c r="AC19" i="4"/>
  <c r="AD15" i="4"/>
  <c r="AD25" i="4"/>
  <c r="AE19" i="4"/>
  <c r="AF19" i="4"/>
  <c r="AG19" i="4"/>
  <c r="AG15" i="4"/>
  <c r="AH19" i="4"/>
  <c r="AH15" i="4"/>
  <c r="AH25" i="4"/>
  <c r="AK19" i="4"/>
  <c r="AL19" i="4"/>
  <c r="AK15" i="4"/>
  <c r="F21" i="4"/>
  <c r="I21" i="4"/>
  <c r="I20" i="4"/>
  <c r="L21" i="4"/>
  <c r="L20" i="4"/>
  <c r="O21" i="4"/>
  <c r="O20" i="4"/>
  <c r="Q20" i="4"/>
  <c r="P21" i="4"/>
  <c r="P20" i="4"/>
  <c r="P25" i="4"/>
  <c r="R21" i="4"/>
  <c r="T21" i="4"/>
  <c r="AA21" i="4"/>
  <c r="AC21" i="4"/>
  <c r="AA20" i="4"/>
  <c r="AD21" i="4"/>
  <c r="AD20" i="4"/>
  <c r="AG21" i="4"/>
  <c r="AI21" i="4"/>
  <c r="AG20" i="4"/>
  <c r="AI20" i="4"/>
  <c r="AG25" i="4"/>
  <c r="AI25" i="4"/>
  <c r="AJ21" i="4"/>
  <c r="AJ20" i="4"/>
  <c r="AJ25" i="4"/>
  <c r="AK21" i="4"/>
  <c r="AK20" i="4"/>
  <c r="G22" i="4"/>
  <c r="H22" i="4"/>
  <c r="J22" i="4"/>
  <c r="J21" i="4"/>
  <c r="K21" i="4"/>
  <c r="K22" i="4"/>
  <c r="M22" i="4"/>
  <c r="M21" i="4"/>
  <c r="M20" i="4"/>
  <c r="M25" i="4"/>
  <c r="Q22" i="4"/>
  <c r="S22" i="4"/>
  <c r="S21" i="4"/>
  <c r="U22" i="4"/>
  <c r="U21" i="4"/>
  <c r="V22" i="4"/>
  <c r="X22" i="4"/>
  <c r="X21" i="4"/>
  <c r="Y22" i="4"/>
  <c r="Y21" i="4"/>
  <c r="AB22" i="4"/>
  <c r="AC22" i="4"/>
  <c r="AF22" i="4"/>
  <c r="AL22" i="4"/>
  <c r="H23" i="4"/>
  <c r="K23" i="4"/>
  <c r="N23" i="4"/>
  <c r="Q23" i="4"/>
  <c r="T23" i="4"/>
  <c r="V23" i="4"/>
  <c r="Z23" i="4"/>
  <c r="AC23" i="4"/>
  <c r="AH23" i="4"/>
  <c r="AH22" i="4"/>
  <c r="AL23" i="4"/>
  <c r="H24" i="4"/>
  <c r="K24" i="4"/>
  <c r="N24" i="4"/>
  <c r="Q24" i="4"/>
  <c r="T24" i="4"/>
  <c r="W24" i="4"/>
  <c r="Z24" i="4"/>
  <c r="AC24" i="4"/>
  <c r="AF24" i="4"/>
  <c r="AI24" i="4"/>
  <c r="AL24" i="4"/>
  <c r="H29" i="4"/>
  <c r="K29" i="4"/>
  <c r="N29" i="4"/>
  <c r="Q29" i="4"/>
  <c r="T29" i="4"/>
  <c r="W29" i="4"/>
  <c r="Z29" i="4"/>
  <c r="AC29" i="4"/>
  <c r="AF29" i="4"/>
  <c r="AI29" i="4"/>
  <c r="AL29" i="4"/>
  <c r="F30" i="4"/>
  <c r="G30" i="4"/>
  <c r="I30" i="4"/>
  <c r="J30" i="4"/>
  <c r="L30" i="4"/>
  <c r="M30" i="4"/>
  <c r="N30" i="4"/>
  <c r="O30" i="4"/>
  <c r="Q30" i="4"/>
  <c r="P30" i="4"/>
  <c r="P40" i="4"/>
  <c r="U30" i="4"/>
  <c r="W30" i="4"/>
  <c r="V30" i="4"/>
  <c r="X30" i="4"/>
  <c r="Y30" i="4"/>
  <c r="AD30" i="4"/>
  <c r="AE30" i="4"/>
  <c r="H31" i="4"/>
  <c r="K31" i="4"/>
  <c r="N31" i="4"/>
  <c r="Q31" i="4"/>
  <c r="W31" i="4"/>
  <c r="Z31" i="4"/>
  <c r="AC31" i="4"/>
  <c r="AH31" i="4"/>
  <c r="AH30" i="4"/>
  <c r="AI30" i="4"/>
  <c r="AL31" i="4"/>
  <c r="H32" i="4"/>
  <c r="K32" i="4"/>
  <c r="N32" i="4"/>
  <c r="Q32" i="4"/>
  <c r="T32" i="4"/>
  <c r="W32" i="4"/>
  <c r="Z32" i="4"/>
  <c r="AC32" i="4"/>
  <c r="AI32" i="4"/>
  <c r="AL32" i="4"/>
  <c r="H33" i="4"/>
  <c r="K33" i="4"/>
  <c r="N33" i="4"/>
  <c r="Q33" i="4"/>
  <c r="T33" i="4"/>
  <c r="W33" i="4"/>
  <c r="Z33" i="4"/>
  <c r="AC33" i="4"/>
  <c r="AF33" i="4"/>
  <c r="AI33" i="4"/>
  <c r="AL33" i="4"/>
  <c r="H34" i="4"/>
  <c r="K34" i="4"/>
  <c r="N34" i="4"/>
  <c r="Q34" i="4"/>
  <c r="S34" i="4"/>
  <c r="W34" i="4"/>
  <c r="Z34" i="4"/>
  <c r="AA34" i="4"/>
  <c r="AC34" i="4"/>
  <c r="AA30" i="4"/>
  <c r="AB34" i="4"/>
  <c r="AB30" i="4"/>
  <c r="AF34" i="4"/>
  <c r="AG34" i="4"/>
  <c r="AG30" i="4"/>
  <c r="AJ34" i="4"/>
  <c r="AJ30" i="4"/>
  <c r="AK34" i="4"/>
  <c r="AL34" i="4"/>
  <c r="F36" i="4"/>
  <c r="G36" i="4"/>
  <c r="I36" i="4"/>
  <c r="K36" i="4"/>
  <c r="I35" i="4"/>
  <c r="J36" i="4"/>
  <c r="J35" i="4"/>
  <c r="J40" i="4"/>
  <c r="L36" i="4"/>
  <c r="L35" i="4"/>
  <c r="M36" i="4"/>
  <c r="M35" i="4"/>
  <c r="N35" i="4"/>
  <c r="M40" i="4"/>
  <c r="N36" i="4"/>
  <c r="O36" i="4"/>
  <c r="O35" i="4"/>
  <c r="Q35" i="4"/>
  <c r="P36" i="4"/>
  <c r="Q36" i="4"/>
  <c r="R36" i="4"/>
  <c r="R35" i="4"/>
  <c r="S36" i="4"/>
  <c r="T36" i="4"/>
  <c r="S35" i="4"/>
  <c r="S40" i="4"/>
  <c r="AD36" i="4"/>
  <c r="AD35" i="4"/>
  <c r="AE36" i="4"/>
  <c r="AE35" i="4"/>
  <c r="AE40" i="4"/>
  <c r="AF36" i="4"/>
  <c r="H37" i="4"/>
  <c r="K37" i="4"/>
  <c r="N37" i="4"/>
  <c r="Q37" i="4"/>
  <c r="T37" i="4"/>
  <c r="U37" i="4"/>
  <c r="V37" i="4"/>
  <c r="V36" i="4"/>
  <c r="V35" i="4"/>
  <c r="V40" i="4"/>
  <c r="Y37" i="4"/>
  <c r="Y36" i="4"/>
  <c r="Y35" i="4"/>
  <c r="Y40" i="4"/>
  <c r="Y58" i="4"/>
  <c r="AA37" i="4"/>
  <c r="AA36" i="4"/>
  <c r="AA35" i="4"/>
  <c r="AC35" i="4"/>
  <c r="AB37" i="4"/>
  <c r="AF37" i="4"/>
  <c r="AG37" i="4"/>
  <c r="AG36" i="4"/>
  <c r="AG35" i="4"/>
  <c r="AH37" i="4"/>
  <c r="AH36" i="4"/>
  <c r="AH35" i="4"/>
  <c r="AJ37" i="4"/>
  <c r="AJ36" i="4"/>
  <c r="AJ35" i="4"/>
  <c r="AJ40" i="4"/>
  <c r="AJ58" i="4"/>
  <c r="AK37" i="4"/>
  <c r="AK36" i="4"/>
  <c r="H38" i="4"/>
  <c r="K38" i="4"/>
  <c r="N38" i="4"/>
  <c r="Q38" i="4"/>
  <c r="T38" i="4"/>
  <c r="W38" i="4"/>
  <c r="Z38" i="4"/>
  <c r="AB38" i="4"/>
  <c r="AF38" i="4"/>
  <c r="AI38" i="4"/>
  <c r="AL38" i="4"/>
  <c r="H39" i="4"/>
  <c r="K39" i="4"/>
  <c r="N39" i="4"/>
  <c r="Q39" i="4"/>
  <c r="T39" i="4"/>
  <c r="W39" i="4"/>
  <c r="Z39" i="4"/>
  <c r="AC39" i="4"/>
  <c r="AF39" i="4"/>
  <c r="AI39" i="4"/>
  <c r="AK39" i="4"/>
  <c r="AL39" i="4"/>
  <c r="H44" i="4"/>
  <c r="K44" i="4"/>
  <c r="L44" i="4"/>
  <c r="M44" i="4"/>
  <c r="O44" i="4"/>
  <c r="P44" i="4"/>
  <c r="R44" i="4"/>
  <c r="S44" i="4"/>
  <c r="U44" i="4"/>
  <c r="V44" i="4"/>
  <c r="W44" i="4"/>
  <c r="X44" i="4"/>
  <c r="Z44" i="4"/>
  <c r="AA44" i="4"/>
  <c r="AB44" i="4"/>
  <c r="AC44" i="4"/>
  <c r="AF44" i="4"/>
  <c r="AI44" i="4"/>
  <c r="AL44" i="4"/>
  <c r="R46" i="4"/>
  <c r="T46" i="4"/>
  <c r="S46" i="4"/>
  <c r="U46" i="4"/>
  <c r="W46" i="4"/>
  <c r="V46" i="4"/>
  <c r="X46" i="4"/>
  <c r="Y46" i="4"/>
  <c r="AA46" i="4"/>
  <c r="AB46" i="4"/>
  <c r="H49" i="4"/>
  <c r="K49" i="4"/>
  <c r="N49" i="4"/>
  <c r="Q49" i="4"/>
  <c r="T49" i="4"/>
  <c r="W49" i="4"/>
  <c r="Z49" i="4"/>
  <c r="AC49" i="4"/>
  <c r="AF49" i="4"/>
  <c r="AI49" i="4"/>
  <c r="AL49" i="4"/>
  <c r="F50" i="4"/>
  <c r="G50" i="4"/>
  <c r="I50" i="4"/>
  <c r="J50" i="4"/>
  <c r="K50" i="4"/>
  <c r="L50" i="4"/>
  <c r="M50" i="4"/>
  <c r="O50" i="4"/>
  <c r="Q50" i="4"/>
  <c r="P50" i="4"/>
  <c r="R50" i="4"/>
  <c r="S50" i="4"/>
  <c r="U50" i="4"/>
  <c r="U55" i="4"/>
  <c r="W55" i="4"/>
  <c r="V50" i="4"/>
  <c r="X50" i="4"/>
  <c r="Y50" i="4"/>
  <c r="AA50" i="4"/>
  <c r="AC50" i="4"/>
  <c r="AB50" i="4"/>
  <c r="AD50" i="4"/>
  <c r="AD55" i="4"/>
  <c r="AE50" i="4"/>
  <c r="AG50" i="4"/>
  <c r="AG55" i="4"/>
  <c r="AH50" i="4"/>
  <c r="AJ50" i="4"/>
  <c r="AK50" i="4"/>
  <c r="AL50" i="4"/>
  <c r="H51" i="4"/>
  <c r="K51" i="4"/>
  <c r="N51" i="4"/>
  <c r="Q51" i="4"/>
  <c r="T51" i="4"/>
  <c r="W51" i="4"/>
  <c r="Z51" i="4"/>
  <c r="AC51" i="4"/>
  <c r="AI51" i="4"/>
  <c r="AL51" i="4"/>
  <c r="H52" i="4"/>
  <c r="K52" i="4"/>
  <c r="N52" i="4"/>
  <c r="Q52" i="4"/>
  <c r="T52" i="4"/>
  <c r="W52" i="4"/>
  <c r="Z52" i="4"/>
  <c r="AC52" i="4"/>
  <c r="AF52" i="4"/>
  <c r="AI52" i="4"/>
  <c r="AL52" i="4"/>
  <c r="H53" i="4"/>
  <c r="K53" i="4"/>
  <c r="N53" i="4"/>
  <c r="Q53" i="4"/>
  <c r="T53" i="4"/>
  <c r="W53" i="4"/>
  <c r="Z53" i="4"/>
  <c r="AC53" i="4"/>
  <c r="AF53" i="4"/>
  <c r="AI53" i="4"/>
  <c r="AL53" i="4"/>
  <c r="H54" i="4"/>
  <c r="K54" i="4"/>
  <c r="N54" i="4"/>
  <c r="Q54" i="4"/>
  <c r="T54" i="4"/>
  <c r="W54" i="4"/>
  <c r="Z54" i="4"/>
  <c r="AC54" i="4"/>
  <c r="AF54" i="4"/>
  <c r="AI54" i="4"/>
  <c r="AL54" i="4"/>
  <c r="F55" i="4"/>
  <c r="G55" i="4"/>
  <c r="I55" i="4"/>
  <c r="L55" i="4"/>
  <c r="M55" i="4"/>
  <c r="O55" i="4"/>
  <c r="P55" i="4"/>
  <c r="R55" i="4"/>
  <c r="T55" i="4"/>
  <c r="S55" i="4"/>
  <c r="V55" i="4"/>
  <c r="X55" i="4"/>
  <c r="Y55" i="4"/>
  <c r="AA55" i="4"/>
  <c r="AB55" i="4"/>
  <c r="AE55" i="4"/>
  <c r="AH55" i="4"/>
  <c r="AJ55" i="4"/>
  <c r="AK55" i="4"/>
  <c r="AL55" i="4"/>
  <c r="U20" i="4"/>
  <c r="AI35" i="4"/>
  <c r="AI36" i="4"/>
  <c r="S20" i="4"/>
  <c r="O25" i="4"/>
  <c r="P35" i="4"/>
  <c r="AB21" i="4"/>
  <c r="AB20" i="4"/>
  <c r="AB25" i="4"/>
  <c r="AE15" i="4"/>
  <c r="AI34" i="4"/>
  <c r="AI23" i="4"/>
  <c r="Z22" i="4"/>
  <c r="T22" i="4"/>
  <c r="Q21" i="4"/>
  <c r="AA40" i="4"/>
  <c r="AG40" i="4"/>
  <c r="J20" i="4"/>
  <c r="J25" i="4"/>
  <c r="J58" i="4"/>
  <c r="AC30" i="4"/>
  <c r="AC38" i="4"/>
  <c r="AC37" i="4"/>
  <c r="AI31" i="4"/>
  <c r="H30" i="4"/>
  <c r="AL21" i="4"/>
  <c r="F20" i="4"/>
  <c r="F25" i="4"/>
  <c r="T35" i="4"/>
  <c r="R20" i="4"/>
  <c r="R25" i="4"/>
  <c r="Z55" i="4"/>
  <c r="N50" i="4"/>
  <c r="AF30" i="4"/>
  <c r="Z30" i="4"/>
  <c r="AH21" i="4"/>
  <c r="AI22" i="4"/>
  <c r="Y20" i="4"/>
  <c r="AB36" i="4"/>
  <c r="AB35" i="4"/>
  <c r="AB40" i="4"/>
  <c r="AC40" i="4"/>
  <c r="N55" i="4"/>
  <c r="Z50" i="4"/>
  <c r="AC46" i="4"/>
  <c r="Z46" i="4"/>
  <c r="T44" i="4"/>
  <c r="Q44" i="4"/>
  <c r="K30" i="4"/>
  <c r="Q15" i="4"/>
  <c r="N15" i="4"/>
  <c r="L40" i="4"/>
  <c r="N40" i="4"/>
  <c r="AF50" i="4"/>
  <c r="T50" i="4"/>
  <c r="N22" i="4"/>
  <c r="AI37" i="4"/>
  <c r="S30" i="4"/>
  <c r="G21" i="4"/>
  <c r="G20" i="4"/>
  <c r="Y25" i="4"/>
  <c r="AH20" i="4"/>
  <c r="H21" i="4"/>
  <c r="AL36" i="4"/>
  <c r="AK35" i="4"/>
  <c r="AB58" i="4"/>
  <c r="W20" i="4"/>
  <c r="M58" i="4"/>
  <c r="U25" i="4"/>
  <c r="AL37" i="4"/>
  <c r="W22" i="4"/>
  <c r="V21" i="4"/>
  <c r="V20" i="4"/>
  <c r="V25" i="4"/>
  <c r="V58" i="4"/>
  <c r="AA25" i="4"/>
  <c r="AC20" i="4"/>
  <c r="K20" i="4"/>
  <c r="I25" i="4"/>
  <c r="AL15" i="4"/>
  <c r="H20" i="4"/>
  <c r="T20" i="4"/>
  <c r="AI40" i="4"/>
  <c r="AF15" i="4"/>
  <c r="H55" i="4"/>
  <c r="W37" i="4"/>
  <c r="U36" i="4"/>
  <c r="AK30" i="4"/>
  <c r="AL30" i="4"/>
  <c r="W21" i="4"/>
  <c r="O40" i="4"/>
  <c r="Q55" i="4"/>
  <c r="AF31" i="4"/>
  <c r="AC36" i="4"/>
  <c r="N44" i="4"/>
  <c r="AC55" i="4"/>
  <c r="AH40" i="4"/>
  <c r="AH58" i="4"/>
  <c r="T19" i="4"/>
  <c r="S15" i="4"/>
  <c r="T15" i="4"/>
  <c r="W23" i="4"/>
  <c r="AF35" i="4"/>
  <c r="AD40" i="4"/>
  <c r="AF40" i="4"/>
  <c r="K35" i="4"/>
  <c r="I40" i="4"/>
  <c r="K40" i="4"/>
  <c r="P58" i="4"/>
  <c r="T31" i="4"/>
  <c r="R30" i="4"/>
  <c r="AG58" i="4"/>
  <c r="AI58" i="4"/>
  <c r="H25" i="4"/>
  <c r="Q25" i="4"/>
  <c r="AD58" i="4"/>
  <c r="AF55" i="4"/>
  <c r="H50" i="4"/>
  <c r="N20" i="4"/>
  <c r="L25" i="4"/>
  <c r="AI15" i="4"/>
  <c r="W15" i="4"/>
  <c r="H15" i="4"/>
  <c r="AE21" i="4"/>
  <c r="AF23" i="4"/>
  <c r="Z37" i="4"/>
  <c r="X36" i="4"/>
  <c r="G25" i="4"/>
  <c r="AI55" i="4"/>
  <c r="Z21" i="4"/>
  <c r="X20" i="4"/>
  <c r="AK25" i="4"/>
  <c r="AL25" i="4"/>
  <c r="N21" i="4"/>
  <c r="H36" i="4"/>
  <c r="G35" i="4"/>
  <c r="T34" i="4"/>
  <c r="F35" i="4"/>
  <c r="W50" i="4"/>
  <c r="AL20" i="4"/>
  <c r="AI50" i="4"/>
  <c r="AI19" i="4"/>
  <c r="J55" i="4"/>
  <c r="K55" i="4"/>
  <c r="N25" i="4"/>
  <c r="L58" i="4"/>
  <c r="N58" i="4"/>
  <c r="X25" i="4"/>
  <c r="Z20" i="4"/>
  <c r="AE20" i="4"/>
  <c r="AF21" i="4"/>
  <c r="F40" i="4"/>
  <c r="H35" i="4"/>
  <c r="AA58" i="4"/>
  <c r="AC58" i="4"/>
  <c r="AC25" i="4"/>
  <c r="Z36" i="4"/>
  <c r="X35" i="4"/>
  <c r="W25" i="4"/>
  <c r="AL35" i="4"/>
  <c r="AK40" i="4"/>
  <c r="G40" i="4"/>
  <c r="U35" i="4"/>
  <c r="W36" i="4"/>
  <c r="K25" i="4"/>
  <c r="I58" i="4"/>
  <c r="K58" i="4"/>
  <c r="S25" i="4"/>
  <c r="R40" i="4"/>
  <c r="T30" i="4"/>
  <c r="Q40" i="4"/>
  <c r="O58" i="4"/>
  <c r="Q58" i="4"/>
  <c r="S58" i="4"/>
  <c r="T25" i="4"/>
  <c r="H40" i="4"/>
  <c r="F58" i="4"/>
  <c r="W35" i="4"/>
  <c r="U40" i="4"/>
  <c r="Z25" i="4"/>
  <c r="T40" i="4"/>
  <c r="R58" i="4"/>
  <c r="T58" i="4"/>
  <c r="AF20" i="4"/>
  <c r="AE25" i="4"/>
  <c r="X40" i="4"/>
  <c r="Z40" i="4"/>
  <c r="Z35" i="4"/>
  <c r="AL40" i="4"/>
  <c r="AK58" i="4"/>
  <c r="AL58" i="4"/>
  <c r="G58" i="4"/>
  <c r="AF25" i="4"/>
  <c r="AE58" i="4"/>
  <c r="AF58" i="4"/>
  <c r="H58" i="4"/>
  <c r="X58" i="4"/>
  <c r="Z58" i="4"/>
  <c r="W40" i="4"/>
  <c r="U58" i="4"/>
  <c r="W58" i="4"/>
</calcChain>
</file>

<file path=xl/sharedStrings.xml><?xml version="1.0" encoding="utf-8"?>
<sst xmlns="http://schemas.openxmlformats.org/spreadsheetml/2006/main" count="110" uniqueCount="33">
  <si>
    <t>Acreedor</t>
  </si>
  <si>
    <t>Principal</t>
  </si>
  <si>
    <t xml:space="preserve">Interés </t>
  </si>
  <si>
    <t>Total</t>
  </si>
  <si>
    <t>FMI</t>
  </si>
  <si>
    <t>Multilateral</t>
  </si>
  <si>
    <t>BID</t>
  </si>
  <si>
    <t>Banco Mundial</t>
  </si>
  <si>
    <t>CAF</t>
  </si>
  <si>
    <t>Otros</t>
  </si>
  <si>
    <t>Bilateral</t>
  </si>
  <si>
    <t>Club de París</t>
  </si>
  <si>
    <t xml:space="preserve">     Comercial</t>
  </si>
  <si>
    <t>Total HIPC II</t>
  </si>
  <si>
    <t>I. HIPC I</t>
  </si>
  <si>
    <t>II. HIPC II</t>
  </si>
  <si>
    <t>III. Más allá del HIPC</t>
  </si>
  <si>
    <t xml:space="preserve">     Japón</t>
  </si>
  <si>
    <t xml:space="preserve">             (En millones de $us)</t>
  </si>
  <si>
    <t>ELABORACIÓN: BANCO CENTRAL DE BOLIVIA - ASESORÍA DE POLÍTICA ECONÓMICA - SECTOR EXTERNO.</t>
  </si>
  <si>
    <t>IV. MDRI</t>
  </si>
  <si>
    <t>V. Total (I + II + III + IV)</t>
  </si>
  <si>
    <t>ALIVIO HIPC Y MDRI -  POR ACREEDOR</t>
  </si>
  <si>
    <t>FUENTE:             BANCO CENTRAL DE BOLIVIA - ASESORÍA DE POLÍTICA ECONÓMICA - SECTOR EXTERNO.</t>
  </si>
  <si>
    <r>
      <t xml:space="preserve">                           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Datos preliminares</t>
    </r>
  </si>
  <si>
    <r>
      <t>2010</t>
    </r>
    <r>
      <rPr>
        <b/>
        <vertAlign val="superscript"/>
        <sz val="10"/>
        <color indexed="8"/>
        <rFont val="Arial"/>
        <family val="2"/>
      </rPr>
      <t xml:space="preserve"> p</t>
    </r>
  </si>
  <si>
    <r>
      <t>2011</t>
    </r>
    <r>
      <rPr>
        <b/>
        <vertAlign val="superscript"/>
        <sz val="10"/>
        <color indexed="8"/>
        <rFont val="Arial"/>
        <family val="2"/>
      </rPr>
      <t xml:space="preserve"> p</t>
    </r>
  </si>
  <si>
    <r>
      <t>2012</t>
    </r>
    <r>
      <rPr>
        <b/>
        <vertAlign val="superscript"/>
        <sz val="10"/>
        <color indexed="8"/>
        <rFont val="Arial"/>
        <family val="2"/>
      </rPr>
      <t xml:space="preserve"> p</t>
    </r>
  </si>
  <si>
    <r>
      <t>2013</t>
    </r>
    <r>
      <rPr>
        <b/>
        <vertAlign val="superscript"/>
        <sz val="10"/>
        <color indexed="8"/>
        <rFont val="Arial"/>
        <family val="2"/>
      </rPr>
      <t xml:space="preserve"> p</t>
    </r>
  </si>
  <si>
    <r>
      <t>2014</t>
    </r>
    <r>
      <rPr>
        <b/>
        <vertAlign val="superscript"/>
        <sz val="10"/>
        <color indexed="8"/>
        <rFont val="Arial"/>
        <family val="2"/>
      </rPr>
      <t xml:space="preserve"> p</t>
    </r>
  </si>
  <si>
    <r>
      <t>2015</t>
    </r>
    <r>
      <rPr>
        <b/>
        <vertAlign val="superscript"/>
        <sz val="10"/>
        <color indexed="8"/>
        <rFont val="Arial"/>
        <family val="2"/>
      </rPr>
      <t xml:space="preserve"> p</t>
    </r>
  </si>
  <si>
    <t>1998 - 2015</t>
  </si>
  <si>
    <t xml:space="preserve">                              El dato para 2015 tiene fecha de cierre 6 de enero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</si>
</sst>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3" formatCode="#,##0.0"/>
    <numFmt numFmtId="204" formatCode="0.0"/>
    <numFmt numFmtId="205" formatCode="0.0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2"/>
      <name val="Courier"/>
    </font>
    <font>
      <sz val="1"/>
      <color indexed="8"/>
      <name val="Courier"/>
      <family val="3"/>
    </font>
    <font>
      <b/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8" fillId="0" borderId="0"/>
    <xf numFmtId="0" fontId="4" fillId="0" borderId="0"/>
  </cellStyleXfs>
  <cellXfs count="94">
    <xf numFmtId="0" fontId="0" fillId="0" borderId="0" xfId="0"/>
    <xf numFmtId="0" fontId="0" fillId="0" borderId="0" xfId="0" applyFill="1" applyBorder="1"/>
    <xf numFmtId="204" fontId="0" fillId="0" borderId="0" xfId="0" applyNumberFormat="1" applyFill="1" applyBorder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1" fillId="0" borderId="6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204" fontId="1" fillId="0" borderId="0" xfId="0" applyNumberFormat="1" applyFont="1" applyFill="1" applyBorder="1"/>
    <xf numFmtId="0" fontId="1" fillId="0" borderId="8" xfId="0" applyFont="1" applyFill="1" applyBorder="1" applyAlignment="1">
      <alignment horizontal="center" vertical="center"/>
    </xf>
    <xf numFmtId="0" fontId="0" fillId="0" borderId="6" xfId="0" applyFill="1" applyBorder="1"/>
    <xf numFmtId="204" fontId="0" fillId="0" borderId="0" xfId="0" applyNumberFormat="1"/>
    <xf numFmtId="0" fontId="0" fillId="0" borderId="0" xfId="0" applyBorder="1"/>
    <xf numFmtId="0" fontId="1" fillId="0" borderId="2" xfId="0" applyFont="1" applyFill="1" applyBorder="1" applyAlignment="1">
      <alignment horizontal="center" vertical="center"/>
    </xf>
    <xf numFmtId="204" fontId="1" fillId="0" borderId="6" xfId="0" applyNumberFormat="1" applyFont="1" applyFill="1" applyBorder="1"/>
    <xf numFmtId="204" fontId="1" fillId="0" borderId="7" xfId="0" applyNumberFormat="1" applyFont="1" applyFill="1" applyBorder="1"/>
    <xf numFmtId="204" fontId="0" fillId="0" borderId="6" xfId="0" applyNumberFormat="1" applyFill="1" applyBorder="1"/>
    <xf numFmtId="204" fontId="0" fillId="0" borderId="7" xfId="0" applyNumberFormat="1" applyFill="1" applyBorder="1"/>
    <xf numFmtId="204" fontId="1" fillId="0" borderId="6" xfId="0" applyNumberFormat="1" applyFont="1" applyFill="1" applyBorder="1" applyAlignment="1">
      <alignment horizontal="center"/>
    </xf>
    <xf numFmtId="204" fontId="1" fillId="0" borderId="0" xfId="0" applyNumberFormat="1" applyFont="1" applyFill="1" applyBorder="1" applyAlignment="1">
      <alignment horizontal="center"/>
    </xf>
    <xf numFmtId="204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03" fontId="2" fillId="0" borderId="6" xfId="0" applyNumberFormat="1" applyFont="1" applyFill="1" applyBorder="1"/>
    <xf numFmtId="203" fontId="2" fillId="0" borderId="0" xfId="0" applyNumberFormat="1" applyFont="1" applyFill="1" applyBorder="1"/>
    <xf numFmtId="204" fontId="0" fillId="0" borderId="0" xfId="0" applyNumberFormat="1" applyFill="1" applyBorder="1" applyAlignment="1">
      <alignment horizontal="center"/>
    </xf>
    <xf numFmtId="204" fontId="0" fillId="0" borderId="7" xfId="0" applyNumberFormat="1" applyFill="1" applyBorder="1" applyAlignment="1">
      <alignment horizontal="center"/>
    </xf>
    <xf numFmtId="0" fontId="3" fillId="0" borderId="0" xfId="0" applyFont="1" applyFill="1" applyAlignment="1" applyProtection="1"/>
    <xf numFmtId="203" fontId="1" fillId="0" borderId="6" xfId="0" applyNumberFormat="1" applyFont="1" applyFill="1" applyBorder="1"/>
    <xf numFmtId="203" fontId="1" fillId="0" borderId="0" xfId="0" applyNumberFormat="1" applyFont="1" applyFill="1" applyBorder="1"/>
    <xf numFmtId="203" fontId="0" fillId="0" borderId="6" xfId="0" applyNumberFormat="1" applyFill="1" applyBorder="1"/>
    <xf numFmtId="203" fontId="0" fillId="0" borderId="0" xfId="0" applyNumberFormat="1" applyFill="1" applyBorder="1"/>
    <xf numFmtId="203" fontId="1" fillId="0" borderId="6" xfId="0" applyNumberFormat="1" applyFont="1" applyFill="1" applyBorder="1" applyAlignment="1">
      <alignment horizontal="center"/>
    </xf>
    <xf numFmtId="203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04" fontId="0" fillId="0" borderId="4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9" applyFont="1" applyFill="1" applyBorder="1" applyAlignment="1" applyProtection="1">
      <alignment horizontal="center" vertical="center"/>
    </xf>
    <xf numFmtId="204" fontId="2" fillId="0" borderId="0" xfId="0" applyNumberFormat="1" applyFont="1" applyFill="1" applyBorder="1"/>
    <xf numFmtId="204" fontId="0" fillId="0" borderId="5" xfId="0" applyNumberFormat="1" applyFill="1" applyBorder="1" applyAlignment="1">
      <alignment horizontal="center"/>
    </xf>
    <xf numFmtId="204" fontId="2" fillId="0" borderId="7" xfId="0" applyNumberFormat="1" applyFont="1" applyFill="1" applyBorder="1"/>
    <xf numFmtId="204" fontId="0" fillId="0" borderId="1" xfId="0" applyNumberFormat="1" applyFill="1" applyBorder="1" applyAlignment="1">
      <alignment horizontal="center"/>
    </xf>
    <xf numFmtId="203" fontId="0" fillId="0" borderId="0" xfId="0" applyNumberFormat="1"/>
    <xf numFmtId="205" fontId="0" fillId="0" borderId="0" xfId="0" applyNumberFormat="1"/>
    <xf numFmtId="204" fontId="1" fillId="0" borderId="6" xfId="0" applyNumberFormat="1" applyFont="1" applyFill="1" applyBorder="1" applyAlignment="1">
      <alignment horizontal="center"/>
    </xf>
    <xf numFmtId="204" fontId="1" fillId="0" borderId="0" xfId="0" applyNumberFormat="1" applyFont="1" applyFill="1" applyBorder="1" applyAlignment="1">
      <alignment horizontal="center"/>
    </xf>
    <xf numFmtId="204" fontId="1" fillId="0" borderId="7" xfId="0" applyNumberFormat="1" applyFont="1" applyFill="1" applyBorder="1" applyAlignment="1">
      <alignment horizontal="center"/>
    </xf>
    <xf numFmtId="204" fontId="1" fillId="0" borderId="1" xfId="0" applyNumberFormat="1" applyFont="1" applyFill="1" applyBorder="1" applyAlignment="1">
      <alignment horizontal="center"/>
    </xf>
    <xf numFmtId="204" fontId="0" fillId="0" borderId="4" xfId="0" applyNumberFormat="1" applyFill="1" applyBorder="1" applyAlignment="1">
      <alignment horizontal="center"/>
    </xf>
    <xf numFmtId="204" fontId="0" fillId="0" borderId="5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03" fontId="1" fillId="0" borderId="1" xfId="0" applyNumberFormat="1" applyFont="1" applyFill="1" applyBorder="1" applyAlignment="1">
      <alignment horizontal="center"/>
    </xf>
    <xf numFmtId="203" fontId="0" fillId="0" borderId="4" xfId="0" applyNumberFormat="1" applyFill="1" applyBorder="1" applyAlignment="1">
      <alignment horizontal="center"/>
    </xf>
    <xf numFmtId="203" fontId="1" fillId="0" borderId="6" xfId="0" applyNumberFormat="1" applyFont="1" applyFill="1" applyBorder="1" applyAlignment="1">
      <alignment horizontal="center"/>
    </xf>
    <xf numFmtId="203" fontId="1" fillId="0" borderId="0" xfId="0" applyNumberFormat="1" applyFont="1" applyFill="1" applyBorder="1" applyAlignment="1">
      <alignment horizontal="center"/>
    </xf>
    <xf numFmtId="204" fontId="1" fillId="0" borderId="4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Border="1"/>
    <xf numFmtId="0" fontId="0" fillId="0" borderId="7" xfId="0" applyFill="1" applyBorder="1"/>
    <xf numFmtId="0" fontId="0" fillId="0" borderId="7" xfId="0" applyBorder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9" xfId="0" applyFill="1" applyBorder="1"/>
    <xf numFmtId="204" fontId="1" fillId="0" borderId="10" xfId="0" applyNumberFormat="1" applyFont="1" applyFill="1" applyBorder="1" applyAlignment="1">
      <alignment horizontal="center"/>
    </xf>
    <xf numFmtId="204" fontId="1" fillId="0" borderId="10" xfId="0" applyNumberFormat="1" applyFont="1" applyFill="1" applyBorder="1" applyAlignment="1">
      <alignment horizontal="center"/>
    </xf>
    <xf numFmtId="203" fontId="1" fillId="0" borderId="10" xfId="0" applyNumberFormat="1" applyFont="1" applyFill="1" applyBorder="1"/>
    <xf numFmtId="203" fontId="2" fillId="0" borderId="10" xfId="0" applyNumberFormat="1" applyFont="1" applyFill="1" applyBorder="1"/>
    <xf numFmtId="203" fontId="0" fillId="0" borderId="10" xfId="0" applyNumberFormat="1" applyFill="1" applyBorder="1"/>
    <xf numFmtId="203" fontId="1" fillId="0" borderId="10" xfId="0" applyNumberFormat="1" applyFont="1" applyFill="1" applyBorder="1" applyAlignment="1">
      <alignment horizontal="center"/>
    </xf>
    <xf numFmtId="203" fontId="1" fillId="0" borderId="10" xfId="0" applyNumberFormat="1" applyFont="1" applyFill="1" applyBorder="1" applyAlignment="1">
      <alignment horizontal="center"/>
    </xf>
    <xf numFmtId="203" fontId="0" fillId="0" borderId="9" xfId="0" applyNumberForma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203" fontId="0" fillId="0" borderId="12" xfId="0" applyNumberFormat="1" applyFill="1" applyBorder="1"/>
    <xf numFmtId="203" fontId="0" fillId="0" borderId="13" xfId="0" applyNumberFormat="1" applyFill="1" applyBorder="1"/>
    <xf numFmtId="203" fontId="0" fillId="0" borderId="15" xfId="0" applyNumberFormat="1" applyFill="1" applyBorder="1"/>
  </cellXfs>
  <cellStyles count="10">
    <cellStyle name="F2" xfId="1"/>
    <cellStyle name="F3" xfId="2"/>
    <cellStyle name="F4" xfId="3"/>
    <cellStyle name="F5" xfId="4"/>
    <cellStyle name="F6" xfId="5"/>
    <cellStyle name="F7" xfId="6"/>
    <cellStyle name="F8" xfId="7"/>
    <cellStyle name="Normal" xfId="0" builtinId="0"/>
    <cellStyle name="Normal 2" xfId="8"/>
    <cellStyle name="Normal_Desemb acreedor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BS70"/>
  <sheetViews>
    <sheetView showGridLines="0" tabSelected="1" zoomScale="85" zoomScaleNormal="85" workbookViewId="0">
      <selection activeCell="C4" sqref="C4"/>
    </sheetView>
  </sheetViews>
  <sheetFormatPr baseColWidth="10" defaultRowHeight="12.75" x14ac:dyDescent="0.2"/>
  <cols>
    <col min="3" max="3" width="1.7109375" customWidth="1"/>
    <col min="4" max="4" width="3.7109375" customWidth="1"/>
    <col min="5" max="5" width="21.7109375" customWidth="1"/>
    <col min="6" max="41" width="8.85546875" hidden="1" customWidth="1"/>
    <col min="42" max="61" width="8.85546875" customWidth="1"/>
    <col min="62" max="62" width="9.7109375" customWidth="1"/>
    <col min="67" max="67" width="17.140625" customWidth="1"/>
  </cols>
  <sheetData>
    <row r="4" spans="3:71" ht="18" x14ac:dyDescent="0.25">
      <c r="C4" s="7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3:71" x14ac:dyDescent="0.2">
      <c r="C5" s="3"/>
    </row>
    <row r="6" spans="3:71" ht="26.25" x14ac:dyDescent="0.2">
      <c r="C6" s="74" t="s">
        <v>22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</row>
    <row r="7" spans="3:71" x14ac:dyDescent="0.2">
      <c r="C7" s="3"/>
      <c r="BH7" s="3" t="s">
        <v>18</v>
      </c>
    </row>
    <row r="8" spans="3:71" s="3" customFormat="1" ht="18" customHeight="1" x14ac:dyDescent="0.2">
      <c r="C8" s="4"/>
      <c r="D8" s="57" t="s">
        <v>0</v>
      </c>
      <c r="E8" s="61"/>
      <c r="F8" s="60">
        <v>1998</v>
      </c>
      <c r="G8" s="57"/>
      <c r="H8" s="61"/>
      <c r="I8" s="57">
        <v>1999</v>
      </c>
      <c r="J8" s="57"/>
      <c r="K8" s="57"/>
      <c r="L8" s="60">
        <v>2000</v>
      </c>
      <c r="M8" s="57"/>
      <c r="N8" s="61"/>
      <c r="O8" s="60">
        <v>2001</v>
      </c>
      <c r="P8" s="57"/>
      <c r="Q8" s="61"/>
      <c r="R8" s="60">
        <v>2002</v>
      </c>
      <c r="S8" s="57"/>
      <c r="T8" s="61"/>
      <c r="U8" s="60">
        <v>2003</v>
      </c>
      <c r="V8" s="57"/>
      <c r="W8" s="61"/>
      <c r="X8" s="40"/>
      <c r="Y8" s="44">
        <v>2004</v>
      </c>
      <c r="Z8" s="41"/>
      <c r="AA8" s="40"/>
      <c r="AB8" s="44">
        <v>2005</v>
      </c>
      <c r="AC8" s="41"/>
      <c r="AD8" s="43"/>
      <c r="AE8" s="44">
        <v>2006</v>
      </c>
      <c r="AF8" s="41"/>
      <c r="AG8" s="43"/>
      <c r="AH8" s="44">
        <v>2007</v>
      </c>
      <c r="AI8" s="41"/>
      <c r="AJ8" s="40"/>
      <c r="AK8" s="44">
        <v>2008</v>
      </c>
      <c r="AL8" s="41"/>
      <c r="AM8" s="43"/>
      <c r="AN8" s="44">
        <v>2009</v>
      </c>
      <c r="AO8" s="41"/>
      <c r="AP8" s="43"/>
      <c r="AQ8" s="44" t="s">
        <v>25</v>
      </c>
      <c r="AR8" s="43"/>
      <c r="AS8" s="40"/>
      <c r="AT8" s="44" t="s">
        <v>26</v>
      </c>
      <c r="AU8" s="43"/>
      <c r="AV8" s="40"/>
      <c r="AW8" s="44" t="s">
        <v>27</v>
      </c>
      <c r="AX8" s="43"/>
      <c r="AY8" s="40"/>
      <c r="AZ8" s="44" t="s">
        <v>28</v>
      </c>
      <c r="BA8" s="43"/>
      <c r="BB8" s="40"/>
      <c r="BC8" s="44" t="s">
        <v>29</v>
      </c>
      <c r="BD8" s="43"/>
      <c r="BE8" s="40"/>
      <c r="BF8" s="44" t="s">
        <v>30</v>
      </c>
      <c r="BG8" s="43"/>
      <c r="BH8" s="60" t="s">
        <v>3</v>
      </c>
      <c r="BI8" s="57"/>
      <c r="BJ8" s="76"/>
      <c r="BN8"/>
      <c r="BO8"/>
      <c r="BP8"/>
      <c r="BQ8"/>
      <c r="BR8"/>
      <c r="BS8"/>
    </row>
    <row r="9" spans="3:71" s="3" customFormat="1" x14ac:dyDescent="0.2">
      <c r="C9" s="10"/>
      <c r="D9" s="58"/>
      <c r="E9" s="68"/>
      <c r="F9" s="27"/>
      <c r="G9" s="26"/>
      <c r="H9" s="28"/>
      <c r="I9" s="26"/>
      <c r="J9" s="26"/>
      <c r="K9" s="26"/>
      <c r="L9" s="27"/>
      <c r="M9" s="26"/>
      <c r="N9" s="28"/>
      <c r="O9" s="27"/>
      <c r="P9" s="26"/>
      <c r="Q9" s="28"/>
      <c r="R9" s="27"/>
      <c r="S9" s="26"/>
      <c r="T9" s="28"/>
      <c r="U9" s="27"/>
      <c r="V9" s="26"/>
      <c r="W9" s="28"/>
      <c r="X9" s="27"/>
      <c r="Y9" s="26"/>
      <c r="Z9" s="28"/>
      <c r="AA9" s="27"/>
      <c r="AB9" s="26"/>
      <c r="AC9" s="28"/>
      <c r="AD9" s="26"/>
      <c r="AE9" s="26"/>
      <c r="AF9" s="28"/>
      <c r="AG9" s="26"/>
      <c r="AH9" s="26"/>
      <c r="AI9" s="28"/>
      <c r="AJ9" s="27"/>
      <c r="AK9" s="26"/>
      <c r="AL9" s="28"/>
      <c r="AM9" s="26"/>
      <c r="AN9" s="26"/>
      <c r="AO9" s="28"/>
      <c r="AP9" s="26"/>
      <c r="AQ9" s="26"/>
      <c r="AR9" s="26"/>
      <c r="AS9" s="27"/>
      <c r="AT9" s="26"/>
      <c r="AU9" s="26"/>
      <c r="AV9" s="27"/>
      <c r="AW9" s="26"/>
      <c r="AX9" s="26"/>
      <c r="AY9" s="27"/>
      <c r="AZ9" s="26"/>
      <c r="BA9" s="26"/>
      <c r="BB9" s="27"/>
      <c r="BC9" s="26"/>
      <c r="BD9" s="26"/>
      <c r="BE9" s="27"/>
      <c r="BF9" s="26"/>
      <c r="BG9" s="26"/>
      <c r="BH9" s="67" t="s">
        <v>31</v>
      </c>
      <c r="BI9" s="58"/>
      <c r="BJ9" s="77"/>
      <c r="BN9"/>
      <c r="BO9"/>
      <c r="BP9"/>
      <c r="BQ9"/>
      <c r="BR9"/>
      <c r="BS9"/>
    </row>
    <row r="10" spans="3:71" s="3" customFormat="1" x14ac:dyDescent="0.2">
      <c r="C10" s="5"/>
      <c r="D10" s="59"/>
      <c r="E10" s="69"/>
      <c r="F10" s="18" t="s">
        <v>1</v>
      </c>
      <c r="G10" s="6" t="s">
        <v>2</v>
      </c>
      <c r="H10" s="14" t="s">
        <v>3</v>
      </c>
      <c r="I10" s="6" t="s">
        <v>1</v>
      </c>
      <c r="J10" s="6" t="s">
        <v>2</v>
      </c>
      <c r="K10" s="6" t="s">
        <v>3</v>
      </c>
      <c r="L10" s="18" t="s">
        <v>1</v>
      </c>
      <c r="M10" s="6" t="s">
        <v>2</v>
      </c>
      <c r="N10" s="14" t="s">
        <v>3</v>
      </c>
      <c r="O10" s="18" t="s">
        <v>1</v>
      </c>
      <c r="P10" s="6" t="s">
        <v>2</v>
      </c>
      <c r="Q10" s="14" t="s">
        <v>3</v>
      </c>
      <c r="R10" s="18" t="s">
        <v>1</v>
      </c>
      <c r="S10" s="6" t="s">
        <v>2</v>
      </c>
      <c r="T10" s="14" t="s">
        <v>3</v>
      </c>
      <c r="U10" s="18" t="s">
        <v>1</v>
      </c>
      <c r="V10" s="6" t="s">
        <v>2</v>
      </c>
      <c r="W10" s="14" t="s">
        <v>3</v>
      </c>
      <c r="X10" s="18" t="s">
        <v>1</v>
      </c>
      <c r="Y10" s="6" t="s">
        <v>2</v>
      </c>
      <c r="Z10" s="14" t="s">
        <v>3</v>
      </c>
      <c r="AA10" s="18" t="s">
        <v>1</v>
      </c>
      <c r="AB10" s="6" t="s">
        <v>2</v>
      </c>
      <c r="AC10" s="14" t="s">
        <v>3</v>
      </c>
      <c r="AD10" s="18" t="s">
        <v>1</v>
      </c>
      <c r="AE10" s="6" t="s">
        <v>2</v>
      </c>
      <c r="AF10" s="14" t="s">
        <v>3</v>
      </c>
      <c r="AG10" s="6" t="s">
        <v>1</v>
      </c>
      <c r="AH10" s="6" t="s">
        <v>2</v>
      </c>
      <c r="AI10" s="14" t="s">
        <v>3</v>
      </c>
      <c r="AJ10" s="18" t="s">
        <v>1</v>
      </c>
      <c r="AK10" s="6" t="s">
        <v>2</v>
      </c>
      <c r="AL10" s="14" t="s">
        <v>3</v>
      </c>
      <c r="AM10" s="6" t="s">
        <v>1</v>
      </c>
      <c r="AN10" s="6" t="s">
        <v>2</v>
      </c>
      <c r="AO10" s="14" t="s">
        <v>3</v>
      </c>
      <c r="AP10" s="6" t="s">
        <v>1</v>
      </c>
      <c r="AQ10" s="6" t="s">
        <v>2</v>
      </c>
      <c r="AR10" s="6" t="s">
        <v>3</v>
      </c>
      <c r="AS10" s="18" t="s">
        <v>1</v>
      </c>
      <c r="AT10" s="6" t="s">
        <v>2</v>
      </c>
      <c r="AU10" s="14" t="s">
        <v>3</v>
      </c>
      <c r="AV10" s="18" t="s">
        <v>1</v>
      </c>
      <c r="AW10" s="6" t="s">
        <v>2</v>
      </c>
      <c r="AX10" s="14" t="s">
        <v>3</v>
      </c>
      <c r="AY10" s="18" t="s">
        <v>1</v>
      </c>
      <c r="AZ10" s="6" t="s">
        <v>2</v>
      </c>
      <c r="BA10" s="6" t="s">
        <v>3</v>
      </c>
      <c r="BB10" s="18" t="s">
        <v>1</v>
      </c>
      <c r="BC10" s="6" t="s">
        <v>2</v>
      </c>
      <c r="BD10" s="6" t="s">
        <v>3</v>
      </c>
      <c r="BE10" s="18" t="s">
        <v>1</v>
      </c>
      <c r="BF10" s="6" t="s">
        <v>2</v>
      </c>
      <c r="BG10" s="6" t="s">
        <v>3</v>
      </c>
      <c r="BH10" s="18" t="s">
        <v>1</v>
      </c>
      <c r="BI10" s="6" t="s">
        <v>2</v>
      </c>
      <c r="BJ10" s="78" t="s">
        <v>3</v>
      </c>
      <c r="BN10"/>
      <c r="BO10"/>
      <c r="BP10"/>
      <c r="BQ10"/>
      <c r="BR10"/>
      <c r="BS10"/>
    </row>
    <row r="11" spans="3:71" ht="5.25" customHeight="1" x14ac:dyDescent="0.2">
      <c r="C11" s="7"/>
      <c r="D11" s="8"/>
      <c r="E11" s="9"/>
      <c r="F11" s="7"/>
      <c r="G11" s="8"/>
      <c r="H11" s="9"/>
      <c r="I11" s="8"/>
      <c r="J11" s="8"/>
      <c r="K11" s="8"/>
      <c r="L11" s="7"/>
      <c r="M11" s="8"/>
      <c r="N11" s="9"/>
      <c r="O11" s="7"/>
      <c r="P11" s="8"/>
      <c r="Q11" s="9"/>
      <c r="R11" s="7"/>
      <c r="S11" s="8"/>
      <c r="T11" s="9"/>
      <c r="U11" s="7"/>
      <c r="V11" s="8"/>
      <c r="W11" s="9"/>
      <c r="X11" s="7"/>
      <c r="Y11" s="8"/>
      <c r="Z11" s="9"/>
      <c r="AA11" s="7"/>
      <c r="AB11" s="8"/>
      <c r="AC11" s="9"/>
      <c r="AD11" s="8"/>
      <c r="AE11" s="8"/>
      <c r="AF11" s="9"/>
      <c r="AG11" s="8"/>
      <c r="AH11" s="8"/>
      <c r="AI11" s="9"/>
      <c r="AJ11" s="7"/>
      <c r="AK11" s="8"/>
      <c r="AL11" s="9"/>
      <c r="AM11" s="8"/>
      <c r="AN11" s="8"/>
      <c r="AO11" s="9"/>
      <c r="AP11" s="8"/>
      <c r="AQ11" s="8"/>
      <c r="AR11" s="8"/>
      <c r="AS11" s="7"/>
      <c r="AT11" s="8"/>
      <c r="AU11" s="8"/>
      <c r="AV11" s="7"/>
      <c r="AW11" s="8"/>
      <c r="AX11" s="8"/>
      <c r="AY11" s="7"/>
      <c r="AZ11" s="8"/>
      <c r="BA11" s="8"/>
      <c r="BB11" s="7"/>
      <c r="BC11" s="8"/>
      <c r="BD11" s="8"/>
      <c r="BE11" s="7"/>
      <c r="BF11" s="8"/>
      <c r="BG11" s="8"/>
      <c r="BH11" s="7"/>
      <c r="BI11" s="8"/>
      <c r="BJ11" s="79"/>
    </row>
    <row r="12" spans="3:71" s="3" customFormat="1" x14ac:dyDescent="0.2">
      <c r="C12" s="10"/>
      <c r="D12" s="11" t="s">
        <v>14</v>
      </c>
      <c r="E12" s="70"/>
      <c r="F12" s="51"/>
      <c r="G12" s="52"/>
      <c r="H12" s="53"/>
      <c r="I12" s="52"/>
      <c r="J12" s="52"/>
      <c r="K12" s="52"/>
      <c r="L12" s="51"/>
      <c r="M12" s="52"/>
      <c r="N12" s="53"/>
      <c r="O12" s="51"/>
      <c r="P12" s="52"/>
      <c r="Q12" s="53"/>
      <c r="R12" s="51"/>
      <c r="S12" s="52"/>
      <c r="T12" s="53"/>
      <c r="U12" s="51"/>
      <c r="V12" s="52"/>
      <c r="W12" s="53"/>
      <c r="X12" s="51"/>
      <c r="Y12" s="52"/>
      <c r="Z12" s="53"/>
      <c r="AA12" s="51"/>
      <c r="AB12" s="52"/>
      <c r="AC12" s="53"/>
      <c r="AD12" s="24"/>
      <c r="AE12" s="24"/>
      <c r="AF12" s="25"/>
      <c r="AG12" s="24"/>
      <c r="AH12" s="24"/>
      <c r="AI12" s="25"/>
      <c r="AJ12" s="23"/>
      <c r="AK12" s="24"/>
      <c r="AL12" s="25"/>
      <c r="AM12" s="24"/>
      <c r="AN12" s="24"/>
      <c r="AO12" s="25"/>
      <c r="AP12" s="24"/>
      <c r="AQ12" s="24"/>
      <c r="AR12" s="24"/>
      <c r="AS12" s="23"/>
      <c r="AT12" s="24"/>
      <c r="AU12" s="24"/>
      <c r="AV12" s="23"/>
      <c r="AW12" s="24"/>
      <c r="AX12" s="24"/>
      <c r="AY12" s="23"/>
      <c r="AZ12" s="24"/>
      <c r="BA12" s="24"/>
      <c r="BB12" s="23"/>
      <c r="BC12" s="24"/>
      <c r="BD12" s="24"/>
      <c r="BE12" s="23"/>
      <c r="BF12" s="24"/>
      <c r="BG12" s="24"/>
      <c r="BH12" s="51"/>
      <c r="BI12" s="52"/>
      <c r="BJ12" s="80"/>
      <c r="BN12"/>
      <c r="BO12"/>
      <c r="BP12"/>
      <c r="BQ12"/>
      <c r="BR12"/>
      <c r="BS12"/>
    </row>
    <row r="13" spans="3:71" s="3" customFormat="1" ht="6.75" customHeight="1" x14ac:dyDescent="0.2">
      <c r="C13" s="10"/>
      <c r="D13" s="11"/>
      <c r="E13" s="70"/>
      <c r="F13" s="23"/>
      <c r="G13" s="24"/>
      <c r="H13" s="25"/>
      <c r="I13" s="24"/>
      <c r="J13" s="24"/>
      <c r="K13" s="24"/>
      <c r="L13" s="23"/>
      <c r="M13" s="24"/>
      <c r="N13" s="25"/>
      <c r="O13" s="23"/>
      <c r="P13" s="24"/>
      <c r="Q13" s="25"/>
      <c r="R13" s="23"/>
      <c r="S13" s="24"/>
      <c r="T13" s="25"/>
      <c r="U13" s="23"/>
      <c r="V13" s="24"/>
      <c r="W13" s="25"/>
      <c r="X13" s="23"/>
      <c r="Y13" s="24"/>
      <c r="Z13" s="25"/>
      <c r="AA13" s="23"/>
      <c r="AB13" s="24"/>
      <c r="AC13" s="25"/>
      <c r="AD13" s="24"/>
      <c r="AE13" s="24"/>
      <c r="AF13" s="25"/>
      <c r="AG13" s="24"/>
      <c r="AH13" s="24"/>
      <c r="AI13" s="25"/>
      <c r="AJ13" s="23"/>
      <c r="AK13" s="24"/>
      <c r="AL13" s="25"/>
      <c r="AM13" s="24"/>
      <c r="AN13" s="24"/>
      <c r="AO13" s="25"/>
      <c r="AP13" s="24"/>
      <c r="AQ13" s="24"/>
      <c r="AR13" s="24"/>
      <c r="AS13" s="23"/>
      <c r="AT13" s="24"/>
      <c r="AU13" s="24"/>
      <c r="AV13" s="23"/>
      <c r="AW13" s="24"/>
      <c r="AX13" s="24"/>
      <c r="AY13" s="23"/>
      <c r="AZ13" s="24"/>
      <c r="BA13" s="24"/>
      <c r="BB13" s="23"/>
      <c r="BC13" s="24"/>
      <c r="BD13" s="24"/>
      <c r="BE13" s="23"/>
      <c r="BF13" s="24"/>
      <c r="BG13" s="24"/>
      <c r="BH13" s="23"/>
      <c r="BI13" s="24"/>
      <c r="BJ13" s="81"/>
      <c r="BN13"/>
      <c r="BO13"/>
      <c r="BP13"/>
      <c r="BQ13"/>
      <c r="BR13"/>
      <c r="BS13"/>
    </row>
    <row r="14" spans="3:71" s="3" customFormat="1" x14ac:dyDescent="0.2">
      <c r="C14" s="10"/>
      <c r="D14" s="11"/>
      <c r="E14" s="12" t="s">
        <v>4</v>
      </c>
      <c r="F14" s="19">
        <v>5.6230000000000002</v>
      </c>
      <c r="G14" s="13"/>
      <c r="H14" s="20">
        <f t="shared" ref="H14:H25" si="0">F14+G14</f>
        <v>5.6230000000000002</v>
      </c>
      <c r="I14" s="13">
        <v>10.734</v>
      </c>
      <c r="J14" s="13"/>
      <c r="K14" s="13">
        <f t="shared" ref="K14:K25" si="1">I14+J14</f>
        <v>10.734</v>
      </c>
      <c r="L14" s="19">
        <v>9.7050000000000001</v>
      </c>
      <c r="M14" s="13"/>
      <c r="N14" s="20">
        <f t="shared" ref="N14:N25" si="2">L14+M14</f>
        <v>9.7050000000000001</v>
      </c>
      <c r="O14" s="19">
        <v>2.6040000000000001</v>
      </c>
      <c r="P14" s="13">
        <v>0</v>
      </c>
      <c r="Q14" s="20">
        <f t="shared" ref="Q14:Q25" si="3">O14+P14</f>
        <v>2.6040000000000001</v>
      </c>
      <c r="R14" s="19">
        <v>1.7150000000000001</v>
      </c>
      <c r="S14" s="13">
        <v>0</v>
      </c>
      <c r="T14" s="20">
        <f t="shared" ref="T14:T25" si="4">R14+S14</f>
        <v>1.7150000000000001</v>
      </c>
      <c r="U14" s="19"/>
      <c r="V14" s="13"/>
      <c r="W14" s="20">
        <f t="shared" ref="W14:W25" si="5">U14+V14</f>
        <v>0</v>
      </c>
      <c r="X14" s="19"/>
      <c r="Y14" s="13"/>
      <c r="Z14" s="20">
        <f t="shared" ref="Z14:Z25" si="6">X14+Y14</f>
        <v>0</v>
      </c>
      <c r="AA14" s="19"/>
      <c r="AB14" s="13"/>
      <c r="AC14" s="20">
        <f t="shared" ref="AC14:AC25" si="7">AA14+AB14</f>
        <v>0</v>
      </c>
      <c r="AD14" s="13"/>
      <c r="AE14" s="13"/>
      <c r="AF14" s="20">
        <f>+AD14+AE14</f>
        <v>0</v>
      </c>
      <c r="AG14" s="13"/>
      <c r="AH14" s="13"/>
      <c r="AI14" s="20">
        <f>+AG14+AH14</f>
        <v>0</v>
      </c>
      <c r="AJ14" s="19"/>
      <c r="AK14" s="13"/>
      <c r="AL14" s="20">
        <f>+AJ14+AK14</f>
        <v>0</v>
      </c>
      <c r="AM14" s="13"/>
      <c r="AN14" s="13"/>
      <c r="AO14" s="20">
        <v>0</v>
      </c>
      <c r="AP14" s="13"/>
      <c r="AQ14" s="13"/>
      <c r="AR14" s="13">
        <v>0</v>
      </c>
      <c r="AS14" s="19"/>
      <c r="AT14" s="13"/>
      <c r="AU14" s="13">
        <v>0</v>
      </c>
      <c r="AV14" s="19"/>
      <c r="AW14" s="13"/>
      <c r="AX14" s="13">
        <v>0</v>
      </c>
      <c r="AY14" s="19"/>
      <c r="AZ14" s="13"/>
      <c r="BA14" s="13">
        <v>0</v>
      </c>
      <c r="BB14" s="19"/>
      <c r="BC14" s="13"/>
      <c r="BD14" s="13">
        <v>0</v>
      </c>
      <c r="BE14" s="19"/>
      <c r="BF14" s="13"/>
      <c r="BG14" s="13">
        <v>0</v>
      </c>
      <c r="BH14" s="34">
        <v>30.380999999999997</v>
      </c>
      <c r="BI14" s="35">
        <v>0</v>
      </c>
      <c r="BJ14" s="82">
        <v>30.380999999999997</v>
      </c>
      <c r="BN14"/>
      <c r="BO14"/>
      <c r="BP14"/>
      <c r="BQ14"/>
      <c r="BR14"/>
      <c r="BS14"/>
    </row>
    <row r="15" spans="3:71" s="3" customFormat="1" x14ac:dyDescent="0.2">
      <c r="C15" s="10"/>
      <c r="D15" s="11"/>
      <c r="E15" s="12" t="s">
        <v>5</v>
      </c>
      <c r="F15" s="19">
        <f>F16+F17+F18+F19</f>
        <v>17.974</v>
      </c>
      <c r="G15" s="13">
        <f>G16+G17+G18+G19</f>
        <v>2.363</v>
      </c>
      <c r="H15" s="20">
        <f t="shared" si="0"/>
        <v>20.337</v>
      </c>
      <c r="I15" s="13">
        <f>I16+I17+I18+I19</f>
        <v>26.748000000000001</v>
      </c>
      <c r="J15" s="13">
        <f>J16+J17+J18+J19</f>
        <v>33.941999999999993</v>
      </c>
      <c r="K15" s="13">
        <f t="shared" si="1"/>
        <v>60.69</v>
      </c>
      <c r="L15" s="19">
        <f>L16+L17+L18+L19</f>
        <v>28.533999999999999</v>
      </c>
      <c r="M15" s="13">
        <f>M16+M17+M18+M19</f>
        <v>27.970999999999997</v>
      </c>
      <c r="N15" s="20">
        <f t="shared" si="2"/>
        <v>56.504999999999995</v>
      </c>
      <c r="O15" s="19">
        <f>O16+O17+O18+O19</f>
        <v>21.314</v>
      </c>
      <c r="P15" s="13">
        <f>P16+P17+P18+P19</f>
        <v>24.302999999999997</v>
      </c>
      <c r="Q15" s="20">
        <f t="shared" si="3"/>
        <v>45.616999999999997</v>
      </c>
      <c r="R15" s="19">
        <f>R16+R17+R18+R19</f>
        <v>11.555</v>
      </c>
      <c r="S15" s="13">
        <f>S16+S17+S18+S19</f>
        <v>14.273999999999999</v>
      </c>
      <c r="T15" s="20">
        <f t="shared" si="4"/>
        <v>25.829000000000001</v>
      </c>
      <c r="U15" s="19">
        <f>U16+U17+U18+U19</f>
        <v>7.09</v>
      </c>
      <c r="V15" s="13">
        <f>V16+V17+V18+V19</f>
        <v>13.509</v>
      </c>
      <c r="W15" s="20">
        <f t="shared" si="5"/>
        <v>20.599</v>
      </c>
      <c r="X15" s="19">
        <f>X16+X17+X18+X19</f>
        <v>4.2940000000000005</v>
      </c>
      <c r="Y15" s="13">
        <f>Y16+Y17+Y18+Y19</f>
        <v>8.641</v>
      </c>
      <c r="Z15" s="20">
        <f t="shared" si="6"/>
        <v>12.935</v>
      </c>
      <c r="AA15" s="19">
        <f>AA16+AA17+AA18+AA19</f>
        <v>4.5019999999999998</v>
      </c>
      <c r="AB15" s="13">
        <f>AB16+AB17+AB18+AB19</f>
        <v>7.48</v>
      </c>
      <c r="AC15" s="20">
        <f t="shared" si="7"/>
        <v>11.981999999999999</v>
      </c>
      <c r="AD15" s="13">
        <f>SUM(AD16+AD19)</f>
        <v>1.561364</v>
      </c>
      <c r="AE15" s="13">
        <f>SUM(AE16:AE19)</f>
        <v>4.5786609999999994</v>
      </c>
      <c r="AF15" s="20">
        <f t="shared" ref="AF15:AF25" si="8">AD15+AE15</f>
        <v>6.1400249999999996</v>
      </c>
      <c r="AG15" s="13">
        <f>SUM(AG16+AG19)</f>
        <v>2.5060459999999996</v>
      </c>
      <c r="AH15" s="13">
        <f>SUM(AH16:AH19)</f>
        <v>4.8593649999999995</v>
      </c>
      <c r="AI15" s="20">
        <f t="shared" ref="AI15:AI25" si="9">AG15+AH15</f>
        <v>7.365410999999999</v>
      </c>
      <c r="AJ15" s="19">
        <f>SUM(AJ16+AJ19)</f>
        <v>1.293739</v>
      </c>
      <c r="AK15" s="13">
        <f>SUM(AK16:AK19)</f>
        <v>3.7368007999999997</v>
      </c>
      <c r="AL15" s="20">
        <f t="shared" ref="AL15:AL25" si="10">AJ15+AK15</f>
        <v>5.0305397999999997</v>
      </c>
      <c r="AM15" s="13">
        <v>1.2343633999999999</v>
      </c>
      <c r="AN15" s="13">
        <v>3.4830899</v>
      </c>
      <c r="AO15" s="20">
        <v>4.7174532999999998</v>
      </c>
      <c r="AP15" s="13">
        <v>1.512</v>
      </c>
      <c r="AQ15" s="13">
        <v>2.2560000000000002</v>
      </c>
      <c r="AR15" s="13">
        <v>3.7680000000000002</v>
      </c>
      <c r="AS15" s="19">
        <v>1.3049999999999999</v>
      </c>
      <c r="AT15" s="13">
        <v>1.81</v>
      </c>
      <c r="AU15" s="13">
        <v>3.1150000000000002</v>
      </c>
      <c r="AV15" s="19">
        <v>2.0369999999999999</v>
      </c>
      <c r="AW15" s="13">
        <v>1.1220000000000001</v>
      </c>
      <c r="AX15" s="13">
        <v>3.1589999999999998</v>
      </c>
      <c r="AY15" s="19">
        <v>1.3006004</v>
      </c>
      <c r="AZ15" s="13">
        <v>0.88386189999999998</v>
      </c>
      <c r="BA15" s="13">
        <v>2.1844622999999999</v>
      </c>
      <c r="BB15" s="19">
        <v>0.96099999999999997</v>
      </c>
      <c r="BC15" s="13">
        <v>0.42499999999999999</v>
      </c>
      <c r="BD15" s="13">
        <v>1.3859999999999999</v>
      </c>
      <c r="BE15" s="19">
        <v>0.98</v>
      </c>
      <c r="BF15" s="13">
        <v>0.64300000000000002</v>
      </c>
      <c r="BG15" s="13">
        <v>1.623</v>
      </c>
      <c r="BH15" s="34">
        <v>136.70211280000001</v>
      </c>
      <c r="BI15" s="35">
        <v>156.28077860000002</v>
      </c>
      <c r="BJ15" s="82">
        <v>292.98289140000003</v>
      </c>
      <c r="BN15"/>
      <c r="BO15"/>
      <c r="BP15"/>
      <c r="BQ15"/>
      <c r="BR15"/>
      <c r="BS15"/>
    </row>
    <row r="16" spans="3:71" x14ac:dyDescent="0.2">
      <c r="C16" s="15"/>
      <c r="D16" s="1"/>
      <c r="E16" s="71" t="s">
        <v>6</v>
      </c>
      <c r="F16" s="21">
        <v>9.1999999999999998E-2</v>
      </c>
      <c r="G16" s="2">
        <v>0.77100000000000002</v>
      </c>
      <c r="H16" s="22">
        <f t="shared" si="0"/>
        <v>0.86299999999999999</v>
      </c>
      <c r="I16" s="2">
        <v>1.41</v>
      </c>
      <c r="J16" s="2">
        <v>25.481999999999999</v>
      </c>
      <c r="K16" s="2">
        <f t="shared" si="1"/>
        <v>26.891999999999999</v>
      </c>
      <c r="L16" s="21">
        <v>2.9620000000000002</v>
      </c>
      <c r="M16" s="2">
        <v>20.131</v>
      </c>
      <c r="N16" s="22">
        <f t="shared" si="2"/>
        <v>23.093</v>
      </c>
      <c r="O16" s="21">
        <v>2.8039999999999998</v>
      </c>
      <c r="P16" s="2">
        <v>17.303000000000001</v>
      </c>
      <c r="Q16" s="22">
        <f t="shared" si="3"/>
        <v>20.106999999999999</v>
      </c>
      <c r="R16" s="21">
        <v>2.1150000000000002</v>
      </c>
      <c r="S16" s="2">
        <v>13.814</v>
      </c>
      <c r="T16" s="22">
        <f t="shared" si="4"/>
        <v>15.929</v>
      </c>
      <c r="U16" s="21">
        <v>3.133</v>
      </c>
      <c r="V16" s="2">
        <v>13.493</v>
      </c>
      <c r="W16" s="22">
        <f t="shared" si="5"/>
        <v>16.626000000000001</v>
      </c>
      <c r="X16" s="21">
        <v>2.5750000000000002</v>
      </c>
      <c r="Y16" s="2">
        <v>9.5990000000000002</v>
      </c>
      <c r="Z16" s="22">
        <f t="shared" si="6"/>
        <v>12.173999999999999</v>
      </c>
      <c r="AA16" s="21">
        <v>3.6880000000000002</v>
      </c>
      <c r="AB16" s="2">
        <v>8.4359999999999999</v>
      </c>
      <c r="AC16" s="22">
        <f t="shared" si="7"/>
        <v>12.124000000000001</v>
      </c>
      <c r="AD16" s="2">
        <f>3.135269+0.01</f>
        <v>3.1452689999999999</v>
      </c>
      <c r="AE16" s="2">
        <f>5.552541-0.003</f>
        <v>5.5495409999999996</v>
      </c>
      <c r="AF16" s="47">
        <f t="shared" si="8"/>
        <v>8.6948100000000004</v>
      </c>
      <c r="AG16" s="2">
        <v>3.4869819999999998</v>
      </c>
      <c r="AH16" s="2">
        <v>5.4075449999999998</v>
      </c>
      <c r="AI16" s="47">
        <f t="shared" si="9"/>
        <v>8.8945270000000001</v>
      </c>
      <c r="AJ16" s="21">
        <v>1.293739</v>
      </c>
      <c r="AK16" s="2">
        <v>3.7648701999999998</v>
      </c>
      <c r="AL16" s="47">
        <f t="shared" si="10"/>
        <v>5.0586091999999994</v>
      </c>
      <c r="AM16" s="2">
        <v>1.3920534</v>
      </c>
      <c r="AN16" s="2">
        <v>3.5102307000000001</v>
      </c>
      <c r="AO16" s="47">
        <v>4.9022841000000001</v>
      </c>
      <c r="AP16" s="2">
        <v>1.3220000000000001</v>
      </c>
      <c r="AQ16" s="2">
        <v>2.2280000000000002</v>
      </c>
      <c r="AR16" s="45">
        <v>3.5500000000000003</v>
      </c>
      <c r="AS16" s="21">
        <v>1.3049999999999999</v>
      </c>
      <c r="AT16" s="2">
        <v>1.81</v>
      </c>
      <c r="AU16" s="45">
        <v>3.1150000000000002</v>
      </c>
      <c r="AV16" s="21">
        <v>2.0369999999999999</v>
      </c>
      <c r="AW16" s="2">
        <v>1.1220000000000001</v>
      </c>
      <c r="AX16" s="45">
        <v>3.1589999999999998</v>
      </c>
      <c r="AY16" s="21">
        <v>1.3006004</v>
      </c>
      <c r="AZ16" s="2">
        <v>0.88386189999999998</v>
      </c>
      <c r="BA16" s="45">
        <v>2.1844622999999999</v>
      </c>
      <c r="BB16" s="21">
        <v>0.96099999999999997</v>
      </c>
      <c r="BC16" s="2">
        <v>0.42499999999999999</v>
      </c>
      <c r="BD16" s="45">
        <v>1.3859999999999999</v>
      </c>
      <c r="BE16" s="21">
        <v>0.98</v>
      </c>
      <c r="BF16" s="2">
        <v>0.64300000000000002</v>
      </c>
      <c r="BG16" s="45">
        <v>1.623</v>
      </c>
      <c r="BH16" s="29">
        <v>36.002643799999994</v>
      </c>
      <c r="BI16" s="30">
        <v>134.37304880000002</v>
      </c>
      <c r="BJ16" s="83">
        <v>170.37569260000001</v>
      </c>
    </row>
    <row r="17" spans="3:71" x14ac:dyDescent="0.2">
      <c r="C17" s="15"/>
      <c r="D17" s="1"/>
      <c r="E17" s="71" t="s">
        <v>7</v>
      </c>
      <c r="F17" s="21">
        <v>3.032</v>
      </c>
      <c r="G17" s="2">
        <v>1.3620000000000001</v>
      </c>
      <c r="H17" s="22">
        <f t="shared" si="0"/>
        <v>4.3940000000000001</v>
      </c>
      <c r="I17" s="2">
        <v>8.2739999999999991</v>
      </c>
      <c r="J17" s="2">
        <v>7.66</v>
      </c>
      <c r="K17" s="2">
        <f t="shared" si="1"/>
        <v>15.933999999999999</v>
      </c>
      <c r="L17" s="21">
        <v>10.022</v>
      </c>
      <c r="M17" s="2">
        <v>7.51</v>
      </c>
      <c r="N17" s="22">
        <f t="shared" si="2"/>
        <v>17.532</v>
      </c>
      <c r="O17" s="21">
        <v>12.304</v>
      </c>
      <c r="P17" s="2">
        <v>7.1</v>
      </c>
      <c r="Q17" s="22">
        <f t="shared" si="3"/>
        <v>19.404</v>
      </c>
      <c r="R17" s="21">
        <v>2.1800000000000002</v>
      </c>
      <c r="S17" s="2">
        <v>0.7</v>
      </c>
      <c r="T17" s="22">
        <f t="shared" si="4"/>
        <v>2.88</v>
      </c>
      <c r="U17" s="21"/>
      <c r="V17" s="2"/>
      <c r="W17" s="22">
        <f t="shared" si="5"/>
        <v>0</v>
      </c>
      <c r="X17" s="21"/>
      <c r="Y17" s="2"/>
      <c r="Z17" s="22">
        <f t="shared" si="6"/>
        <v>0</v>
      </c>
      <c r="AA17" s="21"/>
      <c r="AB17" s="2"/>
      <c r="AC17" s="22">
        <f t="shared" si="7"/>
        <v>0</v>
      </c>
      <c r="AD17" s="2"/>
      <c r="AE17" s="2"/>
      <c r="AF17" s="47">
        <f t="shared" si="8"/>
        <v>0</v>
      </c>
      <c r="AG17" s="2"/>
      <c r="AH17" s="2"/>
      <c r="AI17" s="47">
        <f t="shared" si="9"/>
        <v>0</v>
      </c>
      <c r="AJ17" s="21"/>
      <c r="AK17" s="2"/>
      <c r="AL17" s="47">
        <f t="shared" si="10"/>
        <v>0</v>
      </c>
      <c r="AM17" s="2"/>
      <c r="AN17" s="2"/>
      <c r="AO17" s="47">
        <v>0</v>
      </c>
      <c r="AP17" s="2"/>
      <c r="AQ17" s="2"/>
      <c r="AR17" s="45">
        <v>0</v>
      </c>
      <c r="AS17" s="21"/>
      <c r="AT17" s="2"/>
      <c r="AU17" s="45">
        <v>0</v>
      </c>
      <c r="AV17" s="21"/>
      <c r="AW17" s="2"/>
      <c r="AX17" s="45">
        <v>0</v>
      </c>
      <c r="AY17" s="21"/>
      <c r="AZ17" s="2"/>
      <c r="BA17" s="45">
        <v>0</v>
      </c>
      <c r="BB17" s="21"/>
      <c r="BC17" s="2"/>
      <c r="BD17" s="45">
        <v>0</v>
      </c>
      <c r="BE17" s="21"/>
      <c r="BF17" s="2"/>
      <c r="BG17" s="45">
        <v>0</v>
      </c>
      <c r="BH17" s="29">
        <v>35.811999999999998</v>
      </c>
      <c r="BI17" s="30">
        <v>24.331999999999997</v>
      </c>
      <c r="BJ17" s="83">
        <v>60.143999999999991</v>
      </c>
    </row>
    <row r="18" spans="3:71" x14ac:dyDescent="0.2">
      <c r="C18" s="15"/>
      <c r="D18" s="1"/>
      <c r="E18" s="71" t="s">
        <v>8</v>
      </c>
      <c r="F18" s="21">
        <v>13</v>
      </c>
      <c r="G18" s="2"/>
      <c r="H18" s="22">
        <f t="shared" si="0"/>
        <v>13</v>
      </c>
      <c r="I18" s="2">
        <v>9.8339999999999996</v>
      </c>
      <c r="J18" s="2"/>
      <c r="K18" s="2">
        <f t="shared" si="1"/>
        <v>9.8339999999999996</v>
      </c>
      <c r="L18" s="21">
        <v>9.67</v>
      </c>
      <c r="M18" s="2"/>
      <c r="N18" s="22">
        <f t="shared" si="2"/>
        <v>9.67</v>
      </c>
      <c r="O18" s="21">
        <v>0.4</v>
      </c>
      <c r="P18" s="2">
        <v>0</v>
      </c>
      <c r="Q18" s="22">
        <f t="shared" si="3"/>
        <v>0.4</v>
      </c>
      <c r="R18" s="21">
        <v>1.38</v>
      </c>
      <c r="S18" s="2">
        <v>0</v>
      </c>
      <c r="T18" s="22">
        <f t="shared" si="4"/>
        <v>1.38</v>
      </c>
      <c r="U18" s="21">
        <v>0.83899999999999997</v>
      </c>
      <c r="V18" s="2">
        <v>0.161</v>
      </c>
      <c r="W18" s="22">
        <f t="shared" si="5"/>
        <v>1</v>
      </c>
      <c r="X18" s="21"/>
      <c r="Y18" s="2"/>
      <c r="Z18" s="22">
        <f t="shared" si="6"/>
        <v>0</v>
      </c>
      <c r="AA18" s="21"/>
      <c r="AB18" s="2"/>
      <c r="AC18" s="22">
        <f t="shared" si="7"/>
        <v>0</v>
      </c>
      <c r="AD18" s="2"/>
      <c r="AE18" s="2"/>
      <c r="AF18" s="47">
        <f t="shared" si="8"/>
        <v>0</v>
      </c>
      <c r="AG18" s="2"/>
      <c r="AH18" s="2"/>
      <c r="AI18" s="47">
        <f t="shared" si="9"/>
        <v>0</v>
      </c>
      <c r="AJ18" s="21"/>
      <c r="AK18" s="2"/>
      <c r="AL18" s="47">
        <f t="shared" si="10"/>
        <v>0</v>
      </c>
      <c r="AM18" s="2"/>
      <c r="AN18" s="2"/>
      <c r="AO18" s="47">
        <v>0</v>
      </c>
      <c r="AP18" s="2"/>
      <c r="AQ18" s="2"/>
      <c r="AR18" s="45">
        <v>0</v>
      </c>
      <c r="AS18" s="21"/>
      <c r="AT18" s="2"/>
      <c r="AU18" s="45">
        <v>0</v>
      </c>
      <c r="AV18" s="21"/>
      <c r="AW18" s="2"/>
      <c r="AX18" s="45">
        <v>0</v>
      </c>
      <c r="AY18" s="21"/>
      <c r="AZ18" s="2"/>
      <c r="BA18" s="45">
        <v>0</v>
      </c>
      <c r="BB18" s="21"/>
      <c r="BC18" s="2"/>
      <c r="BD18" s="45">
        <v>0</v>
      </c>
      <c r="BE18" s="21"/>
      <c r="BF18" s="2"/>
      <c r="BG18" s="45">
        <v>0</v>
      </c>
      <c r="BH18" s="29">
        <v>35.122999999999998</v>
      </c>
      <c r="BI18" s="30">
        <v>0.161</v>
      </c>
      <c r="BJ18" s="83">
        <v>35.283999999999999</v>
      </c>
    </row>
    <row r="19" spans="3:71" x14ac:dyDescent="0.2">
      <c r="C19" s="15"/>
      <c r="D19" s="1"/>
      <c r="E19" s="71" t="s">
        <v>9</v>
      </c>
      <c r="F19" s="21">
        <v>1.85</v>
      </c>
      <c r="G19" s="2">
        <v>0.23</v>
      </c>
      <c r="H19" s="22">
        <f t="shared" si="0"/>
        <v>2.08</v>
      </c>
      <c r="I19" s="2">
        <v>7.23</v>
      </c>
      <c r="J19" s="2">
        <v>0.8</v>
      </c>
      <c r="K19" s="2">
        <f t="shared" si="1"/>
        <v>8.0300000000000011</v>
      </c>
      <c r="L19" s="21">
        <v>5.88</v>
      </c>
      <c r="M19" s="2">
        <v>0.33</v>
      </c>
      <c r="N19" s="22">
        <f t="shared" si="2"/>
        <v>6.21</v>
      </c>
      <c r="O19" s="21">
        <v>5.806</v>
      </c>
      <c r="P19" s="2">
        <v>-0.1</v>
      </c>
      <c r="Q19" s="22">
        <f t="shared" si="3"/>
        <v>5.7060000000000004</v>
      </c>
      <c r="R19" s="21">
        <f>5+0.88</f>
        <v>5.88</v>
      </c>
      <c r="S19" s="2">
        <f>-0.4+0.2-(0.04)</f>
        <v>-0.24000000000000002</v>
      </c>
      <c r="T19" s="22">
        <f t="shared" si="4"/>
        <v>5.64</v>
      </c>
      <c r="U19" s="21">
        <v>3.1179999999999999</v>
      </c>
      <c r="V19" s="2">
        <v>-0.14499999999999999</v>
      </c>
      <c r="W19" s="22">
        <f t="shared" si="5"/>
        <v>2.9729999999999999</v>
      </c>
      <c r="X19" s="21">
        <v>1.7190000000000001</v>
      </c>
      <c r="Y19" s="2">
        <v>-0.95799999999999996</v>
      </c>
      <c r="Z19" s="22">
        <f t="shared" si="6"/>
        <v>0.76100000000000012</v>
      </c>
      <c r="AA19" s="21">
        <v>0.81399999999999995</v>
      </c>
      <c r="AB19" s="2">
        <v>-0.95599999999999996</v>
      </c>
      <c r="AC19" s="22">
        <f t="shared" si="7"/>
        <v>-0.14200000000000002</v>
      </c>
      <c r="AD19" s="2">
        <f>-1.278625-0.31528+0.01</f>
        <v>-1.5839049999999999</v>
      </c>
      <c r="AE19" s="2">
        <f>-0.899875-0.071005</f>
        <v>-0.97087999999999997</v>
      </c>
      <c r="AF19" s="47">
        <f t="shared" si="8"/>
        <v>-2.5547849999999999</v>
      </c>
      <c r="AG19" s="2">
        <f>-0.823246-0.15769</f>
        <v>-0.98093600000000003</v>
      </c>
      <c r="AH19" s="2">
        <f>-0.516992-0.031188</f>
        <v>-0.54818</v>
      </c>
      <c r="AI19" s="47">
        <f t="shared" si="9"/>
        <v>-1.5291160000000001</v>
      </c>
      <c r="AJ19" s="21"/>
      <c r="AK19" s="2">
        <f>-0.0280694</f>
        <v>-2.8069400000000001E-2</v>
      </c>
      <c r="AL19" s="47">
        <f t="shared" si="10"/>
        <v>-2.8069400000000001E-2</v>
      </c>
      <c r="AM19" s="2">
        <v>-0.15769</v>
      </c>
      <c r="AN19" s="2">
        <v>-2.71408E-2</v>
      </c>
      <c r="AO19" s="47">
        <v>-0.18483079999999999</v>
      </c>
      <c r="AP19" s="2">
        <v>0.19</v>
      </c>
      <c r="AQ19" s="2">
        <v>2.8000000000000001E-2</v>
      </c>
      <c r="AR19" s="45">
        <v>0.218</v>
      </c>
      <c r="AS19" s="21"/>
      <c r="AT19" s="2"/>
      <c r="AU19" s="45">
        <v>0</v>
      </c>
      <c r="AV19" s="21"/>
      <c r="AW19" s="2"/>
      <c r="AX19" s="45">
        <v>0</v>
      </c>
      <c r="AY19" s="21"/>
      <c r="AZ19" s="2"/>
      <c r="BA19" s="45">
        <v>0</v>
      </c>
      <c r="BB19" s="21"/>
      <c r="BC19" s="2"/>
      <c r="BD19" s="45">
        <v>0</v>
      </c>
      <c r="BE19" s="21"/>
      <c r="BF19" s="2"/>
      <c r="BG19" s="45">
        <v>0</v>
      </c>
      <c r="BH19" s="29">
        <v>29.764468999999998</v>
      </c>
      <c r="BI19" s="30">
        <v>-2.5852702000000001</v>
      </c>
      <c r="BJ19" s="83">
        <v>27.179198799999998</v>
      </c>
      <c r="BM19" s="16"/>
    </row>
    <row r="20" spans="3:71" s="3" customFormat="1" x14ac:dyDescent="0.2">
      <c r="C20" s="10"/>
      <c r="D20" s="11"/>
      <c r="E20" s="12" t="s">
        <v>10</v>
      </c>
      <c r="F20" s="19">
        <f>F21+F24</f>
        <v>0.08</v>
      </c>
      <c r="G20" s="13">
        <f>G21+G24</f>
        <v>0.68</v>
      </c>
      <c r="H20" s="20">
        <f t="shared" si="0"/>
        <v>0.76</v>
      </c>
      <c r="I20" s="13">
        <f>I21+I24</f>
        <v>0.35</v>
      </c>
      <c r="J20" s="13">
        <f>J21+J24</f>
        <v>12.91</v>
      </c>
      <c r="K20" s="13">
        <f t="shared" si="1"/>
        <v>13.26</v>
      </c>
      <c r="L20" s="19">
        <f>L21+L24</f>
        <v>0.91</v>
      </c>
      <c r="M20" s="13">
        <f>M21+M24</f>
        <v>11.9</v>
      </c>
      <c r="N20" s="20">
        <f t="shared" si="2"/>
        <v>12.81</v>
      </c>
      <c r="O20" s="19">
        <f>O21+O24</f>
        <v>1.2</v>
      </c>
      <c r="P20" s="13">
        <f>P21+P24</f>
        <v>9.2999999999999989</v>
      </c>
      <c r="Q20" s="20">
        <f t="shared" si="3"/>
        <v>10.499999999999998</v>
      </c>
      <c r="R20" s="19">
        <f>R21+R24</f>
        <v>2.2949999999999999</v>
      </c>
      <c r="S20" s="13">
        <f>S21+S24</f>
        <v>12.7</v>
      </c>
      <c r="T20" s="20">
        <f t="shared" si="4"/>
        <v>14.994999999999999</v>
      </c>
      <c r="U20" s="19">
        <f>U21+U24</f>
        <v>2.8570000000000002</v>
      </c>
      <c r="V20" s="13">
        <f>V21+V24</f>
        <v>15.100999999999999</v>
      </c>
      <c r="W20" s="20">
        <f t="shared" si="5"/>
        <v>17.957999999999998</v>
      </c>
      <c r="X20" s="19">
        <f>X21+X24</f>
        <v>3.4560000000000004</v>
      </c>
      <c r="Y20" s="13">
        <f>Y21+Y24</f>
        <v>12.89</v>
      </c>
      <c r="Z20" s="20">
        <f t="shared" si="6"/>
        <v>16.346</v>
      </c>
      <c r="AA20" s="19">
        <f>AA21+AA24</f>
        <v>3.081</v>
      </c>
      <c r="AB20" s="13">
        <f>AB21+AB24</f>
        <v>12.407999999999999</v>
      </c>
      <c r="AC20" s="20">
        <f t="shared" si="7"/>
        <v>15.488999999999999</v>
      </c>
      <c r="AD20" s="13">
        <f>+AD21+AD24</f>
        <v>3.684323</v>
      </c>
      <c r="AE20" s="13">
        <f>+AE21+AE24</f>
        <v>12.991558999999999</v>
      </c>
      <c r="AF20" s="20">
        <f t="shared" si="8"/>
        <v>16.675881999999998</v>
      </c>
      <c r="AG20" s="13">
        <f>+AG21+AG24</f>
        <v>3.3531390000000001</v>
      </c>
      <c r="AH20" s="13">
        <f>+AH21+AH24</f>
        <v>13.559858999999999</v>
      </c>
      <c r="AI20" s="20">
        <f t="shared" si="9"/>
        <v>16.912997999999998</v>
      </c>
      <c r="AJ20" s="19">
        <f>+AJ21+AJ24</f>
        <v>4.9681234999999999</v>
      </c>
      <c r="AK20" s="13">
        <f>+AK21+AK24</f>
        <v>2.0989689999999999</v>
      </c>
      <c r="AL20" s="20">
        <f t="shared" si="10"/>
        <v>7.0670924999999993</v>
      </c>
      <c r="AM20" s="13">
        <v>9.4865549999999992</v>
      </c>
      <c r="AN20" s="13">
        <v>5.3642883000000001</v>
      </c>
      <c r="AO20" s="20">
        <v>14.850843299999999</v>
      </c>
      <c r="AP20" s="13">
        <v>10.461</v>
      </c>
      <c r="AQ20" s="13">
        <v>16.968</v>
      </c>
      <c r="AR20" s="13">
        <v>27.429000000000002</v>
      </c>
      <c r="AS20" s="19">
        <v>7.9260000000000002</v>
      </c>
      <c r="AT20" s="13">
        <v>7.8470000000000004</v>
      </c>
      <c r="AU20" s="13">
        <v>15.773</v>
      </c>
      <c r="AV20" s="19">
        <v>21.103999999999999</v>
      </c>
      <c r="AW20" s="13">
        <v>10.744999999999999</v>
      </c>
      <c r="AX20" s="13">
        <v>31.848999999999997</v>
      </c>
      <c r="AY20" s="19">
        <v>15.309812300000001</v>
      </c>
      <c r="AZ20" s="13">
        <v>9.5967512999999993</v>
      </c>
      <c r="BA20" s="13">
        <v>24.906563599999998</v>
      </c>
      <c r="BB20" s="19">
        <v>9.1389999999999993</v>
      </c>
      <c r="BC20" s="13">
        <v>2.532</v>
      </c>
      <c r="BD20" s="13">
        <v>11.670999999999999</v>
      </c>
      <c r="BE20" s="19">
        <v>6.4980000000000002</v>
      </c>
      <c r="BF20" s="13">
        <v>0.84199999999999997</v>
      </c>
      <c r="BG20" s="13">
        <v>7.34</v>
      </c>
      <c r="BH20" s="34">
        <v>106.15895280000001</v>
      </c>
      <c r="BI20" s="35">
        <v>170.43442660000002</v>
      </c>
      <c r="BJ20" s="82">
        <v>276.5933794</v>
      </c>
      <c r="BN20"/>
      <c r="BO20"/>
      <c r="BP20"/>
      <c r="BQ20"/>
      <c r="BR20"/>
      <c r="BS20"/>
    </row>
    <row r="21" spans="3:71" x14ac:dyDescent="0.2">
      <c r="C21" s="15"/>
      <c r="D21" s="1"/>
      <c r="E21" s="71" t="s">
        <v>11</v>
      </c>
      <c r="F21" s="21">
        <f>F22+F23</f>
        <v>0.08</v>
      </c>
      <c r="G21" s="2">
        <f>G22+G23</f>
        <v>0.68</v>
      </c>
      <c r="H21" s="22">
        <f t="shared" si="0"/>
        <v>0.76</v>
      </c>
      <c r="I21" s="2">
        <f>I22+I23</f>
        <v>0.35</v>
      </c>
      <c r="J21" s="2">
        <f>J22+J23</f>
        <v>12.91</v>
      </c>
      <c r="K21" s="2">
        <f t="shared" si="1"/>
        <v>13.26</v>
      </c>
      <c r="L21" s="21">
        <f>L22+L23</f>
        <v>0.91</v>
      </c>
      <c r="M21" s="2">
        <f>M22+M23</f>
        <v>11.9</v>
      </c>
      <c r="N21" s="22">
        <f t="shared" si="2"/>
        <v>12.81</v>
      </c>
      <c r="O21" s="21">
        <f>O22+O23</f>
        <v>1.2</v>
      </c>
      <c r="P21" s="2">
        <f>P22+P23</f>
        <v>4.9999999999999991</v>
      </c>
      <c r="Q21" s="22">
        <f t="shared" si="3"/>
        <v>6.1999999999999993</v>
      </c>
      <c r="R21" s="21">
        <f>R22+R23</f>
        <v>2.2949999999999999</v>
      </c>
      <c r="S21" s="2">
        <f>S22+S23</f>
        <v>10.6</v>
      </c>
      <c r="T21" s="22">
        <f t="shared" si="4"/>
        <v>12.895</v>
      </c>
      <c r="U21" s="21">
        <f>U22+U23</f>
        <v>2.8570000000000002</v>
      </c>
      <c r="V21" s="2">
        <f>V22+V23</f>
        <v>12.872</v>
      </c>
      <c r="W21" s="22">
        <f t="shared" si="5"/>
        <v>15.728999999999999</v>
      </c>
      <c r="X21" s="21">
        <f>X22+X23</f>
        <v>3.4560000000000004</v>
      </c>
      <c r="Y21" s="2">
        <f>Y22+Y23</f>
        <v>12.89</v>
      </c>
      <c r="Z21" s="22">
        <f t="shared" si="6"/>
        <v>16.346</v>
      </c>
      <c r="AA21" s="21">
        <f>AA22+AA23</f>
        <v>3.081</v>
      </c>
      <c r="AB21" s="2">
        <f>AB22+AB23</f>
        <v>12.407999999999999</v>
      </c>
      <c r="AC21" s="22">
        <f t="shared" si="7"/>
        <v>15.488999999999999</v>
      </c>
      <c r="AD21" s="2">
        <f>+AD22+AD23</f>
        <v>3.684323</v>
      </c>
      <c r="AE21" s="2">
        <f>+AE22+AE23</f>
        <v>12.991558999999999</v>
      </c>
      <c r="AF21" s="47">
        <f t="shared" si="8"/>
        <v>16.675881999999998</v>
      </c>
      <c r="AG21" s="2">
        <f>+AG22+AG23</f>
        <v>3.3531390000000001</v>
      </c>
      <c r="AH21" s="2">
        <f>+AH22+AH23</f>
        <v>13.559858999999999</v>
      </c>
      <c r="AI21" s="47">
        <f t="shared" si="9"/>
        <v>16.912997999999998</v>
      </c>
      <c r="AJ21" s="21">
        <f>+AJ22+AJ23</f>
        <v>4.9681234999999999</v>
      </c>
      <c r="AK21" s="2">
        <f>+AK22+AK23</f>
        <v>2.0989689999999999</v>
      </c>
      <c r="AL21" s="47">
        <f t="shared" si="10"/>
        <v>7.0670924999999993</v>
      </c>
      <c r="AM21" s="2">
        <v>9.4865549999999992</v>
      </c>
      <c r="AN21" s="2">
        <v>5.3642883000000001</v>
      </c>
      <c r="AO21" s="47">
        <v>14.850843299999999</v>
      </c>
      <c r="AP21" s="2">
        <v>10.461</v>
      </c>
      <c r="AQ21" s="2">
        <v>16.968</v>
      </c>
      <c r="AR21" s="45">
        <v>27.429000000000002</v>
      </c>
      <c r="AS21" s="21">
        <v>7.9260000000000002</v>
      </c>
      <c r="AT21" s="2">
        <v>7.8470000000000004</v>
      </c>
      <c r="AU21" s="45">
        <v>15.773</v>
      </c>
      <c r="AV21" s="21">
        <v>21.103999999999999</v>
      </c>
      <c r="AW21" s="2">
        <v>10.744999999999999</v>
      </c>
      <c r="AX21" s="45">
        <v>31.848999999999997</v>
      </c>
      <c r="AY21" s="21">
        <v>15.309812300000001</v>
      </c>
      <c r="AZ21" s="2">
        <v>9.5967512999999993</v>
      </c>
      <c r="BA21" s="45">
        <v>24.906563599999998</v>
      </c>
      <c r="BB21" s="21">
        <v>9.1389999999999993</v>
      </c>
      <c r="BC21" s="2">
        <v>2.532</v>
      </c>
      <c r="BD21" s="45">
        <v>11.670999999999999</v>
      </c>
      <c r="BE21" s="21">
        <v>6.4980000000000002</v>
      </c>
      <c r="BF21" s="2">
        <v>0.84199999999999997</v>
      </c>
      <c r="BG21" s="45">
        <v>7.34</v>
      </c>
      <c r="BH21" s="29">
        <v>106.15895280000001</v>
      </c>
      <c r="BI21" s="30">
        <v>161.80542660000003</v>
      </c>
      <c r="BJ21" s="83">
        <v>267.96437940000004</v>
      </c>
    </row>
    <row r="22" spans="3:71" x14ac:dyDescent="0.2">
      <c r="C22" s="15"/>
      <c r="D22" s="1"/>
      <c r="E22" s="71" t="s">
        <v>12</v>
      </c>
      <c r="F22" s="21">
        <v>0.08</v>
      </c>
      <c r="G22" s="2">
        <f>0.68-0.26</f>
        <v>0.42000000000000004</v>
      </c>
      <c r="H22" s="22">
        <f t="shared" si="0"/>
        <v>0.5</v>
      </c>
      <c r="I22" s="2">
        <v>0.35</v>
      </c>
      <c r="J22" s="2">
        <f>12.91-7.88</f>
        <v>5.03</v>
      </c>
      <c r="K22" s="2">
        <f t="shared" si="1"/>
        <v>5.38</v>
      </c>
      <c r="L22" s="21">
        <v>0.91</v>
      </c>
      <c r="M22" s="2">
        <f>11.9-7.6</f>
        <v>4.3000000000000007</v>
      </c>
      <c r="N22" s="22">
        <f t="shared" si="2"/>
        <v>5.2100000000000009</v>
      </c>
      <c r="O22" s="21">
        <v>1.2</v>
      </c>
      <c r="P22" s="2">
        <v>-3.7</v>
      </c>
      <c r="Q22" s="22">
        <f t="shared" si="3"/>
        <v>-2.5</v>
      </c>
      <c r="R22" s="21">
        <f>2.3-0.005</f>
        <v>2.2949999999999999</v>
      </c>
      <c r="S22" s="2">
        <f>12.7-7.8-2.1</f>
        <v>2.7999999999999994</v>
      </c>
      <c r="T22" s="22">
        <f t="shared" si="4"/>
        <v>5.0949999999999989</v>
      </c>
      <c r="U22" s="21">
        <f>7.118-4.261-0.253</f>
        <v>2.6040000000000001</v>
      </c>
      <c r="V22" s="2">
        <f>17.446-2.345-8.872-2.229</f>
        <v>4.0000000000000009</v>
      </c>
      <c r="W22" s="22">
        <f t="shared" si="5"/>
        <v>6.604000000000001</v>
      </c>
      <c r="X22" s="21">
        <f>3.456-(0.139)</f>
        <v>3.3170000000000002</v>
      </c>
      <c r="Y22" s="2">
        <f>12.89-(9.054)</f>
        <v>3.8360000000000003</v>
      </c>
      <c r="Z22" s="22">
        <f t="shared" si="6"/>
        <v>7.1530000000000005</v>
      </c>
      <c r="AA22" s="21">
        <v>3.081</v>
      </c>
      <c r="AB22" s="2">
        <f>12.397-10.9</f>
        <v>1.4969999999999999</v>
      </c>
      <c r="AC22" s="22">
        <f t="shared" si="7"/>
        <v>4.5779999999999994</v>
      </c>
      <c r="AD22" s="2">
        <v>3.684323</v>
      </c>
      <c r="AE22" s="2">
        <v>4.4916080000000003</v>
      </c>
      <c r="AF22" s="47">
        <f t="shared" si="8"/>
        <v>8.1759310000000003</v>
      </c>
      <c r="AG22" s="2">
        <v>3.3531390000000001</v>
      </c>
      <c r="AH22" s="2">
        <f>13.559859-AH23</f>
        <v>5.749325999999999</v>
      </c>
      <c r="AI22" s="47">
        <f t="shared" si="9"/>
        <v>9.1024649999999987</v>
      </c>
      <c r="AJ22" s="21">
        <v>4.9681234999999999</v>
      </c>
      <c r="AK22" s="2">
        <v>2.0989689999999999</v>
      </c>
      <c r="AL22" s="47">
        <f t="shared" si="10"/>
        <v>7.0670924999999993</v>
      </c>
      <c r="AM22" s="2">
        <v>9.4865549999999992</v>
      </c>
      <c r="AN22" s="2">
        <v>5.3642883000000001</v>
      </c>
      <c r="AO22" s="47">
        <v>14.850843299999999</v>
      </c>
      <c r="AP22" s="2">
        <v>10.461</v>
      </c>
      <c r="AQ22" s="2">
        <v>16.968</v>
      </c>
      <c r="AR22" s="45">
        <v>27.429000000000002</v>
      </c>
      <c r="AS22" s="21">
        <v>7.9260000000000002</v>
      </c>
      <c r="AT22" s="2">
        <v>7.8470000000000004</v>
      </c>
      <c r="AU22" s="45">
        <v>15.773</v>
      </c>
      <c r="AV22" s="21">
        <v>21.103999999999999</v>
      </c>
      <c r="AW22" s="2">
        <v>10.744999999999999</v>
      </c>
      <c r="AX22" s="45">
        <v>31.848999999999997</v>
      </c>
      <c r="AY22" s="21">
        <v>15.309812300000001</v>
      </c>
      <c r="AZ22" s="2">
        <v>9.5967512999999993</v>
      </c>
      <c r="BA22" s="45">
        <v>24.906563599999998</v>
      </c>
      <c r="BB22" s="21">
        <v>9.1389999999999993</v>
      </c>
      <c r="BC22" s="2">
        <v>2.532</v>
      </c>
      <c r="BD22" s="45">
        <v>11.670999999999999</v>
      </c>
      <c r="BE22" s="21">
        <v>6.4980000000000002</v>
      </c>
      <c r="BF22" s="2">
        <v>0.84199999999999997</v>
      </c>
      <c r="BG22" s="45">
        <v>7.34</v>
      </c>
      <c r="BH22" s="29">
        <v>105.7669528</v>
      </c>
      <c r="BI22" s="30">
        <v>84.417942599999989</v>
      </c>
      <c r="BJ22" s="83">
        <v>190.18489539999999</v>
      </c>
    </row>
    <row r="23" spans="3:71" x14ac:dyDescent="0.2">
      <c r="C23" s="15"/>
      <c r="D23" s="1"/>
      <c r="E23" s="71" t="s">
        <v>17</v>
      </c>
      <c r="F23" s="21"/>
      <c r="G23" s="2">
        <v>0.26</v>
      </c>
      <c r="H23" s="22">
        <f t="shared" si="0"/>
        <v>0.26</v>
      </c>
      <c r="I23" s="2"/>
      <c r="J23" s="2">
        <v>7.88</v>
      </c>
      <c r="K23" s="2">
        <f t="shared" si="1"/>
        <v>7.88</v>
      </c>
      <c r="L23" s="21"/>
      <c r="M23" s="2">
        <v>7.6</v>
      </c>
      <c r="N23" s="22">
        <f t="shared" si="2"/>
        <v>7.6</v>
      </c>
      <c r="O23" s="21">
        <v>0</v>
      </c>
      <c r="P23" s="2">
        <v>8.6999999999999993</v>
      </c>
      <c r="Q23" s="22">
        <f t="shared" si="3"/>
        <v>8.6999999999999993</v>
      </c>
      <c r="R23" s="21">
        <v>0</v>
      </c>
      <c r="S23" s="2">
        <v>7.8</v>
      </c>
      <c r="T23" s="22">
        <f t="shared" si="4"/>
        <v>7.8</v>
      </c>
      <c r="U23" s="21">
        <v>0.253</v>
      </c>
      <c r="V23" s="2">
        <f>8.872</f>
        <v>8.8719999999999999</v>
      </c>
      <c r="W23" s="22">
        <f t="shared" si="5"/>
        <v>9.125</v>
      </c>
      <c r="X23" s="21">
        <v>0.13900000000000001</v>
      </c>
      <c r="Y23" s="2">
        <v>9.0540000000000003</v>
      </c>
      <c r="Z23" s="22">
        <f t="shared" si="6"/>
        <v>9.1929999999999996</v>
      </c>
      <c r="AA23" s="21"/>
      <c r="AB23" s="2">
        <v>10.911</v>
      </c>
      <c r="AC23" s="22">
        <f t="shared" si="7"/>
        <v>10.911</v>
      </c>
      <c r="AD23" s="2"/>
      <c r="AE23" s="2">
        <f>8.502951-0.003</f>
        <v>8.4999509999999994</v>
      </c>
      <c r="AF23" s="47">
        <f t="shared" si="8"/>
        <v>8.4999509999999994</v>
      </c>
      <c r="AG23" s="2"/>
      <c r="AH23" s="2">
        <f>10.362721-2.552188</f>
        <v>7.8105330000000004</v>
      </c>
      <c r="AI23" s="47">
        <f t="shared" si="9"/>
        <v>7.8105330000000004</v>
      </c>
      <c r="AJ23" s="21"/>
      <c r="AK23" s="2"/>
      <c r="AL23" s="47">
        <f t="shared" si="10"/>
        <v>0</v>
      </c>
      <c r="AM23" s="2"/>
      <c r="AN23" s="2"/>
      <c r="AO23" s="47">
        <v>0</v>
      </c>
      <c r="AP23" s="2"/>
      <c r="AQ23" s="2"/>
      <c r="AR23" s="45">
        <v>0</v>
      </c>
      <c r="AS23" s="21"/>
      <c r="AT23" s="2"/>
      <c r="AU23" s="45">
        <v>0</v>
      </c>
      <c r="AV23" s="21"/>
      <c r="AW23" s="2"/>
      <c r="AX23" s="45">
        <v>0</v>
      </c>
      <c r="AY23" s="21"/>
      <c r="AZ23" s="2"/>
      <c r="BA23" s="45">
        <v>0</v>
      </c>
      <c r="BB23" s="21"/>
      <c r="BC23" s="2"/>
      <c r="BD23" s="45">
        <v>0</v>
      </c>
      <c r="BE23" s="21"/>
      <c r="BF23" s="2"/>
      <c r="BG23" s="45">
        <v>0</v>
      </c>
      <c r="BH23" s="29">
        <v>0.39200000000000002</v>
      </c>
      <c r="BI23" s="30">
        <v>77.387484000000001</v>
      </c>
      <c r="BJ23" s="83">
        <v>77.779483999999997</v>
      </c>
    </row>
    <row r="24" spans="3:71" x14ac:dyDescent="0.2">
      <c r="C24" s="15"/>
      <c r="D24" s="1"/>
      <c r="E24" s="71" t="s">
        <v>9</v>
      </c>
      <c r="F24" s="21"/>
      <c r="G24" s="2"/>
      <c r="H24" s="22">
        <f t="shared" si="0"/>
        <v>0</v>
      </c>
      <c r="I24" s="2"/>
      <c r="J24" s="2"/>
      <c r="K24" s="2">
        <f t="shared" si="1"/>
        <v>0</v>
      </c>
      <c r="L24" s="21"/>
      <c r="M24" s="2"/>
      <c r="N24" s="22">
        <f t="shared" si="2"/>
        <v>0</v>
      </c>
      <c r="O24" s="21">
        <v>0</v>
      </c>
      <c r="P24" s="2">
        <v>4.3</v>
      </c>
      <c r="Q24" s="22">
        <f t="shared" si="3"/>
        <v>4.3</v>
      </c>
      <c r="R24" s="21">
        <v>0</v>
      </c>
      <c r="S24" s="2">
        <v>2.1</v>
      </c>
      <c r="T24" s="22">
        <f t="shared" si="4"/>
        <v>2.1</v>
      </c>
      <c r="U24" s="21"/>
      <c r="V24" s="2">
        <v>2.2290000000000001</v>
      </c>
      <c r="W24" s="22">
        <f t="shared" si="5"/>
        <v>2.2290000000000001</v>
      </c>
      <c r="X24" s="21"/>
      <c r="Y24" s="2"/>
      <c r="Z24" s="22">
        <f t="shared" si="6"/>
        <v>0</v>
      </c>
      <c r="AA24" s="21"/>
      <c r="AB24" s="2"/>
      <c r="AC24" s="22">
        <f t="shared" si="7"/>
        <v>0</v>
      </c>
      <c r="AD24" s="2"/>
      <c r="AE24" s="2"/>
      <c r="AF24" s="47">
        <f t="shared" si="8"/>
        <v>0</v>
      </c>
      <c r="AG24" s="2"/>
      <c r="AH24" s="2"/>
      <c r="AI24" s="47">
        <f t="shared" si="9"/>
        <v>0</v>
      </c>
      <c r="AJ24" s="21"/>
      <c r="AK24" s="2"/>
      <c r="AL24" s="47">
        <f t="shared" si="10"/>
        <v>0</v>
      </c>
      <c r="AM24" s="2"/>
      <c r="AN24" s="2"/>
      <c r="AO24" s="47">
        <v>0</v>
      </c>
      <c r="AP24" s="2"/>
      <c r="AQ24" s="2"/>
      <c r="AR24" s="45">
        <v>0</v>
      </c>
      <c r="AS24" s="21"/>
      <c r="AT24" s="2"/>
      <c r="AU24" s="45">
        <v>0</v>
      </c>
      <c r="AV24" s="21"/>
      <c r="AW24" s="2"/>
      <c r="AX24" s="45">
        <v>0</v>
      </c>
      <c r="AY24" s="21"/>
      <c r="AZ24" s="2"/>
      <c r="BA24" s="45">
        <v>0</v>
      </c>
      <c r="BB24" s="21"/>
      <c r="BC24" s="2"/>
      <c r="BD24" s="45">
        <v>0</v>
      </c>
      <c r="BE24" s="21"/>
      <c r="BF24" s="2"/>
      <c r="BG24" s="45">
        <v>0</v>
      </c>
      <c r="BH24" s="29">
        <v>0</v>
      </c>
      <c r="BI24" s="30">
        <v>8.6290000000000013</v>
      </c>
      <c r="BJ24" s="83">
        <v>8.6290000000000013</v>
      </c>
    </row>
    <row r="25" spans="3:71" s="3" customFormat="1" x14ac:dyDescent="0.2">
      <c r="C25" s="10"/>
      <c r="D25" s="11"/>
      <c r="E25" s="12" t="s">
        <v>3</v>
      </c>
      <c r="F25" s="19">
        <f>F20+F15+F14</f>
        <v>23.677</v>
      </c>
      <c r="G25" s="13">
        <f>G20+G15+G14</f>
        <v>3.0430000000000001</v>
      </c>
      <c r="H25" s="20">
        <f t="shared" si="0"/>
        <v>26.72</v>
      </c>
      <c r="I25" s="13">
        <f>I20+I15+I14</f>
        <v>37.832000000000001</v>
      </c>
      <c r="J25" s="13">
        <f>J20+J15+J14</f>
        <v>46.85199999999999</v>
      </c>
      <c r="K25" s="13">
        <f t="shared" si="1"/>
        <v>84.683999999999997</v>
      </c>
      <c r="L25" s="19">
        <f>L20+L15+L14</f>
        <v>39.149000000000001</v>
      </c>
      <c r="M25" s="13">
        <f>M20+M15+M14</f>
        <v>39.870999999999995</v>
      </c>
      <c r="N25" s="20">
        <f t="shared" si="2"/>
        <v>79.02</v>
      </c>
      <c r="O25" s="19">
        <f>O20+O15+O14</f>
        <v>25.117999999999999</v>
      </c>
      <c r="P25" s="13">
        <f>P20+P15+P14</f>
        <v>33.602999999999994</v>
      </c>
      <c r="Q25" s="20">
        <f t="shared" si="3"/>
        <v>58.720999999999989</v>
      </c>
      <c r="R25" s="19">
        <f>R20+R15+R14</f>
        <v>15.565</v>
      </c>
      <c r="S25" s="13">
        <f>S20+S15+S14</f>
        <v>26.973999999999997</v>
      </c>
      <c r="T25" s="20">
        <f t="shared" si="4"/>
        <v>42.538999999999994</v>
      </c>
      <c r="U25" s="19">
        <f>U20+U15+U14</f>
        <v>9.9469999999999992</v>
      </c>
      <c r="V25" s="13">
        <f>V20+V15+V14</f>
        <v>28.61</v>
      </c>
      <c r="W25" s="20">
        <f t="shared" si="5"/>
        <v>38.557000000000002</v>
      </c>
      <c r="X25" s="19">
        <f>X20+X15+X14</f>
        <v>7.7500000000000009</v>
      </c>
      <c r="Y25" s="13">
        <f>Y20+Y15+Y14</f>
        <v>21.530999999999999</v>
      </c>
      <c r="Z25" s="20">
        <f t="shared" si="6"/>
        <v>29.280999999999999</v>
      </c>
      <c r="AA25" s="19">
        <f>AA20+AA15+AA14</f>
        <v>7.5830000000000002</v>
      </c>
      <c r="AB25" s="13">
        <f>AB20+AB15+AB14</f>
        <v>19.887999999999998</v>
      </c>
      <c r="AC25" s="20">
        <f t="shared" si="7"/>
        <v>27.470999999999997</v>
      </c>
      <c r="AD25" s="13">
        <f>+AD20+AD15+AD14</f>
        <v>5.2456870000000002</v>
      </c>
      <c r="AE25" s="13">
        <f>+AE20+AE15+AE14</f>
        <v>17.570219999999999</v>
      </c>
      <c r="AF25" s="20">
        <f t="shared" si="8"/>
        <v>22.815906999999999</v>
      </c>
      <c r="AG25" s="13">
        <f>+AG20+AG15+AG14</f>
        <v>5.8591850000000001</v>
      </c>
      <c r="AH25" s="13">
        <f>+AH20+AH15+AH14</f>
        <v>18.419224</v>
      </c>
      <c r="AI25" s="20">
        <f t="shared" si="9"/>
        <v>24.278409</v>
      </c>
      <c r="AJ25" s="19">
        <f>+AJ20+AJ15+AJ14</f>
        <v>6.2618624999999994</v>
      </c>
      <c r="AK25" s="13">
        <f>+AK20+AK15+AK14</f>
        <v>5.8357697999999996</v>
      </c>
      <c r="AL25" s="20">
        <f t="shared" si="10"/>
        <v>12.097632299999999</v>
      </c>
      <c r="AM25" s="13">
        <v>10.720918399999999</v>
      </c>
      <c r="AN25" s="13">
        <v>8.8473781999999996</v>
      </c>
      <c r="AO25" s="20">
        <v>19.568296599999996</v>
      </c>
      <c r="AP25" s="13">
        <v>11.973000000000001</v>
      </c>
      <c r="AQ25" s="13">
        <v>19.224</v>
      </c>
      <c r="AR25" s="13">
        <v>31.197000000000003</v>
      </c>
      <c r="AS25" s="19">
        <v>9.2309999999999999</v>
      </c>
      <c r="AT25" s="13">
        <v>9.657</v>
      </c>
      <c r="AU25" s="13">
        <v>18.887999999999998</v>
      </c>
      <c r="AV25" s="19">
        <v>23.140999999999998</v>
      </c>
      <c r="AW25" s="13">
        <v>11.866999999999999</v>
      </c>
      <c r="AX25" s="13">
        <v>35.007999999999996</v>
      </c>
      <c r="AY25" s="19">
        <v>16.610412700000001</v>
      </c>
      <c r="AZ25" s="13">
        <v>10.480613199999999</v>
      </c>
      <c r="BA25" s="13">
        <v>27.091025899999998</v>
      </c>
      <c r="BB25" s="19">
        <v>10.1</v>
      </c>
      <c r="BC25" s="13">
        <v>2.9569999999999999</v>
      </c>
      <c r="BD25" s="13">
        <v>13.056999999999999</v>
      </c>
      <c r="BE25" s="19">
        <v>7.4779999999999998</v>
      </c>
      <c r="BF25" s="13">
        <v>1.4849999999999999</v>
      </c>
      <c r="BG25" s="13">
        <v>8.9629999999999992</v>
      </c>
      <c r="BH25" s="34">
        <v>273.24206560000005</v>
      </c>
      <c r="BI25" s="35">
        <v>326.71520519999996</v>
      </c>
      <c r="BJ25" s="82">
        <v>599.95727080000006</v>
      </c>
      <c r="BN25"/>
      <c r="BO25"/>
      <c r="BP25"/>
      <c r="BQ25"/>
      <c r="BR25"/>
      <c r="BS25"/>
    </row>
    <row r="26" spans="3:71" ht="12.95" customHeight="1" x14ac:dyDescent="0.2">
      <c r="C26" s="15"/>
      <c r="D26" s="1"/>
      <c r="E26" s="71"/>
      <c r="F26" s="21"/>
      <c r="G26" s="2"/>
      <c r="H26" s="22"/>
      <c r="I26" s="2"/>
      <c r="J26" s="2"/>
      <c r="K26" s="2"/>
      <c r="L26" s="21"/>
      <c r="M26" s="2"/>
      <c r="N26" s="22"/>
      <c r="O26" s="21"/>
      <c r="P26" s="2"/>
      <c r="Q26" s="22"/>
      <c r="R26" s="21"/>
      <c r="S26" s="2"/>
      <c r="T26" s="22"/>
      <c r="U26" s="21"/>
      <c r="V26" s="2"/>
      <c r="W26" s="22"/>
      <c r="X26" s="21"/>
      <c r="Y26" s="2"/>
      <c r="Z26" s="22"/>
      <c r="AA26" s="21"/>
      <c r="AB26" s="2"/>
      <c r="AC26" s="22"/>
      <c r="AD26" s="2"/>
      <c r="AE26" s="2"/>
      <c r="AF26" s="22"/>
      <c r="AG26" s="2"/>
      <c r="AH26" s="2"/>
      <c r="AI26" s="22"/>
      <c r="AJ26" s="21"/>
      <c r="AK26" s="2"/>
      <c r="AL26" s="22"/>
      <c r="AM26" s="2"/>
      <c r="AN26" s="2"/>
      <c r="AO26" s="22"/>
      <c r="AP26" s="2"/>
      <c r="AQ26" s="2"/>
      <c r="AR26" s="2"/>
      <c r="AS26" s="21"/>
      <c r="AT26" s="2"/>
      <c r="AU26" s="2"/>
      <c r="AV26" s="21"/>
      <c r="AW26" s="2"/>
      <c r="AX26" s="2"/>
      <c r="AY26" s="21"/>
      <c r="AZ26" s="2"/>
      <c r="BA26" s="2"/>
      <c r="BB26" s="21"/>
      <c r="BC26" s="2"/>
      <c r="BD26" s="2"/>
      <c r="BE26" s="21"/>
      <c r="BF26" s="2"/>
      <c r="BG26" s="2"/>
      <c r="BH26" s="36"/>
      <c r="BI26" s="37"/>
      <c r="BJ26" s="84"/>
    </row>
    <row r="27" spans="3:71" ht="12.95" customHeight="1" x14ac:dyDescent="0.2">
      <c r="C27" s="10"/>
      <c r="D27" s="11" t="s">
        <v>15</v>
      </c>
      <c r="E27" s="72"/>
      <c r="F27" s="51"/>
      <c r="G27" s="52"/>
      <c r="H27" s="53"/>
      <c r="I27" s="52"/>
      <c r="J27" s="52"/>
      <c r="K27" s="52"/>
      <c r="L27" s="51"/>
      <c r="M27" s="52"/>
      <c r="N27" s="53"/>
      <c r="O27" s="51"/>
      <c r="P27" s="52"/>
      <c r="Q27" s="53"/>
      <c r="R27" s="51"/>
      <c r="S27" s="52"/>
      <c r="T27" s="53"/>
      <c r="U27" s="51"/>
      <c r="V27" s="52"/>
      <c r="W27" s="53"/>
      <c r="X27" s="51"/>
      <c r="Y27" s="52"/>
      <c r="Z27" s="53"/>
      <c r="AA27" s="51"/>
      <c r="AB27" s="52"/>
      <c r="AC27" s="53"/>
      <c r="AD27" s="24"/>
      <c r="AE27" s="24"/>
      <c r="AF27" s="25"/>
      <c r="AG27" s="24"/>
      <c r="AH27" s="24"/>
      <c r="AI27" s="25"/>
      <c r="AJ27" s="23"/>
      <c r="AK27" s="24"/>
      <c r="AL27" s="25"/>
      <c r="AM27" s="24"/>
      <c r="AN27" s="24"/>
      <c r="AO27" s="25"/>
      <c r="AP27" s="24"/>
      <c r="AQ27" s="24"/>
      <c r="AR27" s="24"/>
      <c r="AS27" s="23"/>
      <c r="AT27" s="24"/>
      <c r="AU27" s="24"/>
      <c r="AV27" s="23"/>
      <c r="AW27" s="24"/>
      <c r="AX27" s="24"/>
      <c r="AY27" s="23"/>
      <c r="AZ27" s="24"/>
      <c r="BA27" s="24"/>
      <c r="BB27" s="23"/>
      <c r="BC27" s="24"/>
      <c r="BD27" s="24"/>
      <c r="BE27" s="23"/>
      <c r="BF27" s="24"/>
      <c r="BG27" s="24"/>
      <c r="BH27" s="64"/>
      <c r="BI27" s="65"/>
      <c r="BJ27" s="85"/>
      <c r="BK27" s="17"/>
      <c r="BL27" s="17"/>
      <c r="BM27" s="17"/>
    </row>
    <row r="28" spans="3:71" ht="6.75" customHeight="1" x14ac:dyDescent="0.2">
      <c r="C28" s="10"/>
      <c r="D28" s="11"/>
      <c r="E28" s="72"/>
      <c r="F28" s="23"/>
      <c r="G28" s="24"/>
      <c r="H28" s="25"/>
      <c r="I28" s="24"/>
      <c r="J28" s="24"/>
      <c r="K28" s="24"/>
      <c r="L28" s="23"/>
      <c r="M28" s="24"/>
      <c r="N28" s="25"/>
      <c r="O28" s="23"/>
      <c r="P28" s="24"/>
      <c r="Q28" s="25"/>
      <c r="R28" s="23"/>
      <c r="S28" s="24"/>
      <c r="T28" s="25"/>
      <c r="U28" s="23"/>
      <c r="V28" s="24"/>
      <c r="W28" s="25"/>
      <c r="X28" s="23"/>
      <c r="Y28" s="24"/>
      <c r="Z28" s="25"/>
      <c r="AA28" s="23"/>
      <c r="AB28" s="24"/>
      <c r="AC28" s="25"/>
      <c r="AD28" s="24"/>
      <c r="AE28" s="24"/>
      <c r="AF28" s="25"/>
      <c r="AG28" s="24"/>
      <c r="AH28" s="24"/>
      <c r="AI28" s="25"/>
      <c r="AJ28" s="23"/>
      <c r="AK28" s="24"/>
      <c r="AL28" s="25"/>
      <c r="AM28" s="24"/>
      <c r="AN28" s="24"/>
      <c r="AO28" s="25"/>
      <c r="AP28" s="24"/>
      <c r="AQ28" s="24"/>
      <c r="AR28" s="24"/>
      <c r="AS28" s="23"/>
      <c r="AT28" s="24"/>
      <c r="AU28" s="24"/>
      <c r="AV28" s="23"/>
      <c r="AW28" s="24"/>
      <c r="AX28" s="24"/>
      <c r="AY28" s="23"/>
      <c r="AZ28" s="24"/>
      <c r="BA28" s="24"/>
      <c r="BB28" s="23"/>
      <c r="BC28" s="24"/>
      <c r="BD28" s="24"/>
      <c r="BE28" s="23"/>
      <c r="BF28" s="24"/>
      <c r="BG28" s="24"/>
      <c r="BH28" s="38"/>
      <c r="BI28" s="39"/>
      <c r="BJ28" s="86"/>
      <c r="BK28" s="17"/>
      <c r="BL28" s="17"/>
      <c r="BM28" s="17"/>
    </row>
    <row r="29" spans="3:71" ht="12.95" customHeight="1" x14ac:dyDescent="0.2">
      <c r="C29" s="10"/>
      <c r="D29" s="11"/>
      <c r="E29" s="12" t="s">
        <v>4</v>
      </c>
      <c r="F29" s="19"/>
      <c r="G29" s="13"/>
      <c r="H29" s="20">
        <f t="shared" ref="H29:H40" si="11">F29+G29</f>
        <v>0</v>
      </c>
      <c r="I29" s="13"/>
      <c r="J29" s="13"/>
      <c r="K29" s="13">
        <f t="shared" ref="K29:K40" si="12">I29+J29</f>
        <v>0</v>
      </c>
      <c r="L29" s="19"/>
      <c r="M29" s="13"/>
      <c r="N29" s="20">
        <f t="shared" ref="N29:N40" si="13">L29+M29</f>
        <v>0</v>
      </c>
      <c r="O29" s="19">
        <v>6.2</v>
      </c>
      <c r="P29" s="13">
        <v>0</v>
      </c>
      <c r="Q29" s="20">
        <f t="shared" ref="Q29:Q40" si="14">O29+P29</f>
        <v>6.2</v>
      </c>
      <c r="R29" s="19">
        <v>8.6999999999999993</v>
      </c>
      <c r="S29" s="13">
        <v>0</v>
      </c>
      <c r="T29" s="20">
        <f t="shared" ref="T29:T40" si="15">R29+S29</f>
        <v>8.6999999999999993</v>
      </c>
      <c r="U29" s="19">
        <v>9.7460000000000004</v>
      </c>
      <c r="V29" s="13"/>
      <c r="W29" s="20">
        <f t="shared" ref="W29:W40" si="16">U29+V29</f>
        <v>9.7460000000000004</v>
      </c>
      <c r="X29" s="19">
        <v>18.797999999999998</v>
      </c>
      <c r="Y29" s="13"/>
      <c r="Z29" s="20">
        <f t="shared" ref="Z29:Z40" si="17">X29+Y29</f>
        <v>18.797999999999998</v>
      </c>
      <c r="AA29" s="19">
        <v>14.369</v>
      </c>
      <c r="AB29" s="13"/>
      <c r="AC29" s="20">
        <f t="shared" ref="AC29:AC40" si="18">AA29+AB29</f>
        <v>14.369</v>
      </c>
      <c r="AD29" s="13">
        <v>8.4053970000000007</v>
      </c>
      <c r="AE29" s="13"/>
      <c r="AF29" s="20">
        <f t="shared" ref="AF29:AF40" si="19">AD29+AE29</f>
        <v>8.4053970000000007</v>
      </c>
      <c r="AG29" s="13">
        <v>2.790934</v>
      </c>
      <c r="AH29" s="13"/>
      <c r="AI29" s="20">
        <f t="shared" ref="AI29:AI40" si="20">AG29+AH29</f>
        <v>2.790934</v>
      </c>
      <c r="AJ29" s="19">
        <v>5.7105433999999997</v>
      </c>
      <c r="AK29" s="13"/>
      <c r="AL29" s="20">
        <f t="shared" ref="AL29:AL40" si="21">AJ29+AK29</f>
        <v>5.7105433999999997</v>
      </c>
      <c r="AM29" s="13">
        <v>0.69650469999999998</v>
      </c>
      <c r="AN29" s="13"/>
      <c r="AO29" s="20">
        <v>0.69650469999999998</v>
      </c>
      <c r="AP29" s="13"/>
      <c r="AQ29" s="13"/>
      <c r="AR29" s="13">
        <v>0</v>
      </c>
      <c r="AS29" s="19"/>
      <c r="AT29" s="13"/>
      <c r="AU29" s="13">
        <v>0</v>
      </c>
      <c r="AV29" s="19"/>
      <c r="AW29" s="13"/>
      <c r="AX29" s="13">
        <v>0</v>
      </c>
      <c r="AY29" s="19"/>
      <c r="AZ29" s="13"/>
      <c r="BA29" s="13">
        <v>0</v>
      </c>
      <c r="BB29" s="19"/>
      <c r="BC29" s="13"/>
      <c r="BD29" s="13">
        <v>0</v>
      </c>
      <c r="BE29" s="19"/>
      <c r="BF29" s="13"/>
      <c r="BG29" s="13">
        <v>0</v>
      </c>
      <c r="BH29" s="34">
        <v>75.416379100000015</v>
      </c>
      <c r="BI29" s="35">
        <v>0</v>
      </c>
      <c r="BJ29" s="82">
        <v>75.416379100000015</v>
      </c>
    </row>
    <row r="30" spans="3:71" ht="12.95" customHeight="1" x14ac:dyDescent="0.2">
      <c r="C30" s="10"/>
      <c r="D30" s="11"/>
      <c r="E30" s="12" t="s">
        <v>5</v>
      </c>
      <c r="F30" s="19">
        <f>F31+F32+F33+F34</f>
        <v>0</v>
      </c>
      <c r="G30" s="13">
        <f>G31+G32+G33+G34</f>
        <v>0</v>
      </c>
      <c r="H30" s="20">
        <f t="shared" si="11"/>
        <v>0</v>
      </c>
      <c r="I30" s="13">
        <f>I31+I32+I33+I34</f>
        <v>0</v>
      </c>
      <c r="J30" s="13">
        <f>J31+J32+J33+J34</f>
        <v>0</v>
      </c>
      <c r="K30" s="13">
        <f t="shared" si="12"/>
        <v>0</v>
      </c>
      <c r="L30" s="19">
        <f>L31+L32+L33+L34</f>
        <v>0</v>
      </c>
      <c r="M30" s="13">
        <f>M31+M32+M33+M34</f>
        <v>0</v>
      </c>
      <c r="N30" s="20">
        <f t="shared" si="13"/>
        <v>0</v>
      </c>
      <c r="O30" s="19">
        <f>O31+O32+O33+O34</f>
        <v>9.1</v>
      </c>
      <c r="P30" s="13">
        <f>P31+P32+P33+P34</f>
        <v>7.1</v>
      </c>
      <c r="Q30" s="20">
        <f t="shared" si="14"/>
        <v>16.2</v>
      </c>
      <c r="R30" s="19">
        <f>R31+R32+R33+R34</f>
        <v>45.195999999999998</v>
      </c>
      <c r="S30" s="13">
        <f>S31+S32+S33+S34</f>
        <v>15.914999999999999</v>
      </c>
      <c r="T30" s="20">
        <f t="shared" si="15"/>
        <v>61.110999999999997</v>
      </c>
      <c r="U30" s="19">
        <f>U31+U32+U33+U34</f>
        <v>46.529000000000003</v>
      </c>
      <c r="V30" s="13">
        <f>V31+V32+V33+V34</f>
        <v>11.534999999999998</v>
      </c>
      <c r="W30" s="20">
        <f t="shared" si="16"/>
        <v>58.064</v>
      </c>
      <c r="X30" s="19">
        <f>X31+X32+X33+X34</f>
        <v>33.267000000000003</v>
      </c>
      <c r="Y30" s="13">
        <f>Y31+Y32+Y33+Y34</f>
        <v>17.291999999999998</v>
      </c>
      <c r="Z30" s="20">
        <f t="shared" si="17"/>
        <v>50.558999999999997</v>
      </c>
      <c r="AA30" s="19">
        <f>AA31+AA32+AA33+AA34</f>
        <v>35.869000000000007</v>
      </c>
      <c r="AB30" s="13">
        <f>AB31+AB32+AB33+AB34</f>
        <v>11.135000000000002</v>
      </c>
      <c r="AC30" s="20">
        <f t="shared" si="18"/>
        <v>47.004000000000005</v>
      </c>
      <c r="AD30" s="13">
        <f>+AD31+AD32+AD33+AD34</f>
        <v>36.255783000000001</v>
      </c>
      <c r="AE30" s="13">
        <f>+AE31+AE32+AE33+AE34</f>
        <v>12.877218000000001</v>
      </c>
      <c r="AF30" s="20">
        <f t="shared" si="19"/>
        <v>49.133001</v>
      </c>
      <c r="AG30" s="13">
        <f>+AG31+AG32+AG33+AG34</f>
        <v>38.153019999999998</v>
      </c>
      <c r="AH30" s="13">
        <f>+AH31+AH32+AH33+AH34</f>
        <v>8.8089970000000015</v>
      </c>
      <c r="AI30" s="20">
        <f t="shared" si="20"/>
        <v>46.962017000000003</v>
      </c>
      <c r="AJ30" s="19">
        <f>+AJ31+AJ32+AJ33+AJ34</f>
        <v>40.709877300000002</v>
      </c>
      <c r="AK30" s="13">
        <f>+AK31+AK32+AK33+AK34</f>
        <v>0.89880579999999999</v>
      </c>
      <c r="AL30" s="20">
        <f t="shared" si="21"/>
        <v>41.6086831</v>
      </c>
      <c r="AM30" s="13">
        <v>81.058121400000005</v>
      </c>
      <c r="AN30" s="13">
        <v>0.8539274</v>
      </c>
      <c r="AO30" s="20">
        <v>81.912048800000008</v>
      </c>
      <c r="AP30" s="13">
        <v>87.640000000000015</v>
      </c>
      <c r="AQ30" s="13">
        <v>0.6</v>
      </c>
      <c r="AR30" s="13">
        <v>88.240000000000009</v>
      </c>
      <c r="AS30" s="19">
        <v>85.996000000000009</v>
      </c>
      <c r="AT30" s="13">
        <v>0.55659899999999995</v>
      </c>
      <c r="AU30" s="13">
        <v>86.552599000000015</v>
      </c>
      <c r="AV30" s="19">
        <v>57.292999999999992</v>
      </c>
      <c r="AW30" s="13">
        <v>0.61</v>
      </c>
      <c r="AX30" s="13">
        <v>57.902999999999992</v>
      </c>
      <c r="AY30" s="19">
        <v>66.155780299999989</v>
      </c>
      <c r="AZ30" s="13">
        <v>0.30455369999999998</v>
      </c>
      <c r="BA30" s="13">
        <v>66.460333999999989</v>
      </c>
      <c r="BB30" s="19">
        <v>65.153000000000006</v>
      </c>
      <c r="BC30" s="13">
        <v>8.4830000000000005</v>
      </c>
      <c r="BD30" s="13">
        <v>73.63600000000001</v>
      </c>
      <c r="BE30" s="19">
        <v>64.804000000000002</v>
      </c>
      <c r="BF30" s="13">
        <v>15.643999999999998</v>
      </c>
      <c r="BG30" s="13">
        <v>80.448000000000008</v>
      </c>
      <c r="BH30" s="34">
        <v>793.17958199999998</v>
      </c>
      <c r="BI30" s="35">
        <v>112.61410090000001</v>
      </c>
      <c r="BJ30" s="82">
        <v>905.79368290000002</v>
      </c>
    </row>
    <row r="31" spans="3:71" ht="12.95" customHeight="1" x14ac:dyDescent="0.2">
      <c r="C31" s="15"/>
      <c r="D31" s="1"/>
      <c r="E31" s="71" t="s">
        <v>6</v>
      </c>
      <c r="F31" s="21"/>
      <c r="G31" s="2"/>
      <c r="H31" s="22">
        <f t="shared" si="11"/>
        <v>0</v>
      </c>
      <c r="I31" s="2"/>
      <c r="J31" s="2"/>
      <c r="K31" s="2">
        <f t="shared" si="12"/>
        <v>0</v>
      </c>
      <c r="L31" s="21"/>
      <c r="M31" s="2"/>
      <c r="N31" s="22">
        <f t="shared" si="13"/>
        <v>0</v>
      </c>
      <c r="O31" s="21">
        <v>8.6999999999999993</v>
      </c>
      <c r="P31" s="2">
        <v>6.7</v>
      </c>
      <c r="Q31" s="22">
        <f t="shared" si="14"/>
        <v>15.399999999999999</v>
      </c>
      <c r="R31" s="21">
        <f>16.4-0.004</f>
        <v>16.395999999999997</v>
      </c>
      <c r="S31" s="2">
        <v>11.414999999999999</v>
      </c>
      <c r="T31" s="22">
        <f t="shared" si="15"/>
        <v>27.810999999999996</v>
      </c>
      <c r="U31" s="21">
        <v>11.23</v>
      </c>
      <c r="V31" s="2">
        <v>7.3460000000000001</v>
      </c>
      <c r="W31" s="22">
        <f t="shared" si="16"/>
        <v>18.576000000000001</v>
      </c>
      <c r="X31" s="21">
        <v>11.177</v>
      </c>
      <c r="Y31" s="2">
        <v>8.5609999999999999</v>
      </c>
      <c r="Z31" s="22">
        <f t="shared" si="17"/>
        <v>19.738</v>
      </c>
      <c r="AA31" s="21">
        <v>13.345000000000001</v>
      </c>
      <c r="AB31" s="2">
        <v>8.6620000000000008</v>
      </c>
      <c r="AC31" s="22">
        <f t="shared" si="18"/>
        <v>22.007000000000001</v>
      </c>
      <c r="AD31" s="2">
        <f>16.804504+0.01</f>
        <v>16.814504000000003</v>
      </c>
      <c r="AE31" s="2">
        <f>9.613663-0.003</f>
        <v>9.6106630000000006</v>
      </c>
      <c r="AF31" s="47">
        <f t="shared" si="19"/>
        <v>26.425167000000002</v>
      </c>
      <c r="AG31" s="2">
        <v>18.437086000000001</v>
      </c>
      <c r="AH31" s="2">
        <f>7.632501</f>
        <v>7.6325010000000004</v>
      </c>
      <c r="AI31" s="47">
        <f t="shared" si="20"/>
        <v>26.069587000000002</v>
      </c>
      <c r="AJ31" s="21">
        <v>13.975055299999999</v>
      </c>
      <c r="AK31" s="2"/>
      <c r="AL31" s="47">
        <f t="shared" si="21"/>
        <v>13.975055299999999</v>
      </c>
      <c r="AM31" s="2">
        <v>47.999430400000001</v>
      </c>
      <c r="AN31" s="2"/>
      <c r="AO31" s="47">
        <v>47.999430400000001</v>
      </c>
      <c r="AP31" s="2">
        <v>51.21</v>
      </c>
      <c r="AQ31" s="2"/>
      <c r="AR31" s="45">
        <v>51.21</v>
      </c>
      <c r="AS31" s="21">
        <v>49.142000000000003</v>
      </c>
      <c r="AT31" s="2">
        <v>3.9E-2</v>
      </c>
      <c r="AU31" s="45">
        <v>49.181000000000004</v>
      </c>
      <c r="AV31" s="21">
        <v>33.463999999999999</v>
      </c>
      <c r="AW31" s="2">
        <v>0.246</v>
      </c>
      <c r="AX31" s="45">
        <v>33.71</v>
      </c>
      <c r="AY31" s="21">
        <v>41.661282200000002</v>
      </c>
      <c r="AZ31" s="2"/>
      <c r="BA31" s="45">
        <v>41.661282200000002</v>
      </c>
      <c r="BB31" s="21">
        <v>37.499000000000002</v>
      </c>
      <c r="BC31" s="2">
        <v>4.3860000000000001</v>
      </c>
      <c r="BD31" s="45">
        <v>41.885000000000005</v>
      </c>
      <c r="BE31" s="21">
        <v>39.628</v>
      </c>
      <c r="BF31" s="2">
        <v>7.633</v>
      </c>
      <c r="BG31" s="45">
        <v>47.261000000000003</v>
      </c>
      <c r="BH31" s="29">
        <v>410.67835790000004</v>
      </c>
      <c r="BI31" s="30">
        <v>72.231163999999993</v>
      </c>
      <c r="BJ31" s="83">
        <v>482.90952190000002</v>
      </c>
    </row>
    <row r="32" spans="3:71" ht="12.95" customHeight="1" x14ac:dyDescent="0.2">
      <c r="C32" s="15"/>
      <c r="D32" s="1"/>
      <c r="E32" s="71" t="s">
        <v>7</v>
      </c>
      <c r="F32" s="21"/>
      <c r="G32" s="2"/>
      <c r="H32" s="22">
        <f t="shared" si="11"/>
        <v>0</v>
      </c>
      <c r="I32" s="2"/>
      <c r="J32" s="2"/>
      <c r="K32" s="2">
        <f t="shared" si="12"/>
        <v>0</v>
      </c>
      <c r="L32" s="21"/>
      <c r="M32" s="2"/>
      <c r="N32" s="22">
        <f t="shared" si="13"/>
        <v>0</v>
      </c>
      <c r="O32" s="21">
        <v>0</v>
      </c>
      <c r="P32" s="2">
        <v>0.1</v>
      </c>
      <c r="Q32" s="22">
        <f t="shared" si="14"/>
        <v>0.1</v>
      </c>
      <c r="R32" s="21">
        <v>7</v>
      </c>
      <c r="S32" s="2">
        <v>1.6</v>
      </c>
      <c r="T32" s="22">
        <f t="shared" si="15"/>
        <v>8.6</v>
      </c>
      <c r="U32" s="21">
        <v>11.387</v>
      </c>
      <c r="V32" s="2">
        <v>1.341</v>
      </c>
      <c r="W32" s="22">
        <f t="shared" si="16"/>
        <v>12.728</v>
      </c>
      <c r="X32" s="21">
        <v>12.346</v>
      </c>
      <c r="Y32" s="2">
        <v>0.97499999999999998</v>
      </c>
      <c r="Z32" s="22">
        <f t="shared" si="17"/>
        <v>13.321</v>
      </c>
      <c r="AA32" s="21">
        <v>13.364000000000001</v>
      </c>
      <c r="AB32" s="2">
        <v>0.69499999999999995</v>
      </c>
      <c r="AC32" s="22">
        <f t="shared" si="18"/>
        <v>14.059000000000001</v>
      </c>
      <c r="AD32" s="2">
        <f>15.606069+0.01</f>
        <v>15.616069</v>
      </c>
      <c r="AE32" s="2">
        <v>0.447542</v>
      </c>
      <c r="AF32" s="47">
        <f t="shared" si="19"/>
        <v>16.063610999999998</v>
      </c>
      <c r="AG32" s="2">
        <v>18.234211999999999</v>
      </c>
      <c r="AH32" s="2">
        <v>0.49717800000000001</v>
      </c>
      <c r="AI32" s="47">
        <f t="shared" si="20"/>
        <v>18.731390000000001</v>
      </c>
      <c r="AJ32" s="21">
        <v>24.954990500000001</v>
      </c>
      <c r="AK32" s="2">
        <v>0.17443919999999999</v>
      </c>
      <c r="AL32" s="47">
        <f t="shared" si="21"/>
        <v>25.129429699999999</v>
      </c>
      <c r="AM32" s="2">
        <v>30.831259599999999</v>
      </c>
      <c r="AN32" s="2">
        <v>0.13009889999999999</v>
      </c>
      <c r="AO32" s="47">
        <v>30.961358499999999</v>
      </c>
      <c r="AP32" s="2">
        <v>32.5</v>
      </c>
      <c r="AQ32" s="2">
        <v>0.03</v>
      </c>
      <c r="AR32" s="45">
        <v>32.53</v>
      </c>
      <c r="AS32" s="21">
        <v>34.898000000000003</v>
      </c>
      <c r="AT32" s="2">
        <v>1.1599E-2</v>
      </c>
      <c r="AU32" s="45">
        <v>34.909599</v>
      </c>
      <c r="AV32" s="21">
        <v>22.111999999999998</v>
      </c>
      <c r="AW32" s="2">
        <v>3.0000000000000001E-3</v>
      </c>
      <c r="AX32" s="45">
        <v>22.114999999999998</v>
      </c>
      <c r="AY32" s="21">
        <v>22.904489099999999</v>
      </c>
      <c r="AZ32" s="2"/>
      <c r="BA32" s="45">
        <v>22.904489099999999</v>
      </c>
      <c r="BB32" s="21">
        <v>26.859000000000002</v>
      </c>
      <c r="BC32" s="2">
        <v>3.98</v>
      </c>
      <c r="BD32" s="45">
        <v>30.839000000000002</v>
      </c>
      <c r="BE32" s="21">
        <v>25.175999999999998</v>
      </c>
      <c r="BF32" s="2">
        <v>8.0109999999999992</v>
      </c>
      <c r="BG32" s="45">
        <v>33.186999999999998</v>
      </c>
      <c r="BH32" s="29">
        <v>298.18302019999999</v>
      </c>
      <c r="BI32" s="30">
        <v>17.995857100000002</v>
      </c>
      <c r="BJ32" s="83">
        <v>316.17887730000001</v>
      </c>
    </row>
    <row r="33" spans="3:71" ht="12.95" customHeight="1" x14ac:dyDescent="0.2">
      <c r="C33" s="15"/>
      <c r="D33" s="1"/>
      <c r="E33" s="71" t="s">
        <v>8</v>
      </c>
      <c r="F33" s="21"/>
      <c r="G33" s="2"/>
      <c r="H33" s="22">
        <f t="shared" si="11"/>
        <v>0</v>
      </c>
      <c r="I33" s="2"/>
      <c r="J33" s="2"/>
      <c r="K33" s="2">
        <f t="shared" si="12"/>
        <v>0</v>
      </c>
      <c r="L33" s="21"/>
      <c r="M33" s="2"/>
      <c r="N33" s="22">
        <f t="shared" si="13"/>
        <v>0</v>
      </c>
      <c r="O33" s="21">
        <v>0</v>
      </c>
      <c r="P33" s="2">
        <v>0</v>
      </c>
      <c r="Q33" s="22">
        <f t="shared" si="14"/>
        <v>0</v>
      </c>
      <c r="R33" s="21">
        <v>18</v>
      </c>
      <c r="S33" s="2">
        <v>1.1000000000000001</v>
      </c>
      <c r="T33" s="22">
        <f t="shared" si="15"/>
        <v>19.100000000000001</v>
      </c>
      <c r="U33" s="21">
        <v>20.163</v>
      </c>
      <c r="V33" s="2">
        <v>1.097</v>
      </c>
      <c r="W33" s="22">
        <f t="shared" si="16"/>
        <v>21.26</v>
      </c>
      <c r="X33" s="21">
        <v>6.21</v>
      </c>
      <c r="Y33" s="2">
        <v>6.2009999999999996</v>
      </c>
      <c r="Z33" s="22">
        <f t="shared" si="17"/>
        <v>12.411</v>
      </c>
      <c r="AA33" s="21">
        <v>7.5270000000000001</v>
      </c>
      <c r="AB33" s="2">
        <v>0.79100000000000004</v>
      </c>
      <c r="AC33" s="22">
        <f t="shared" si="18"/>
        <v>8.3179999999999996</v>
      </c>
      <c r="AD33" s="2">
        <v>2.227185</v>
      </c>
      <c r="AE33" s="2">
        <v>2.0360320000000001</v>
      </c>
      <c r="AF33" s="47">
        <f t="shared" si="19"/>
        <v>4.263217</v>
      </c>
      <c r="AG33" s="2"/>
      <c r="AH33" s="2"/>
      <c r="AI33" s="47">
        <f t="shared" si="20"/>
        <v>0</v>
      </c>
      <c r="AJ33" s="21"/>
      <c r="AK33" s="2"/>
      <c r="AL33" s="47">
        <f t="shared" si="21"/>
        <v>0</v>
      </c>
      <c r="AM33" s="2"/>
      <c r="AN33" s="2"/>
      <c r="AO33" s="47">
        <v>0</v>
      </c>
      <c r="AP33" s="2"/>
      <c r="AQ33" s="2"/>
      <c r="AR33" s="45">
        <v>0</v>
      </c>
      <c r="AS33" s="21"/>
      <c r="AT33" s="2"/>
      <c r="AU33" s="45">
        <v>0</v>
      </c>
      <c r="AV33" s="21"/>
      <c r="AW33" s="2"/>
      <c r="AX33" s="45">
        <v>0</v>
      </c>
      <c r="AY33" s="21"/>
      <c r="AZ33" s="2"/>
      <c r="BA33" s="45">
        <v>0</v>
      </c>
      <c r="BB33" s="21"/>
      <c r="BC33" s="2"/>
      <c r="BD33" s="45">
        <v>0</v>
      </c>
      <c r="BE33" s="21"/>
      <c r="BF33" s="2"/>
      <c r="BG33" s="45">
        <v>0</v>
      </c>
      <c r="BH33" s="29">
        <v>54.127184999999997</v>
      </c>
      <c r="BI33" s="30">
        <v>11.225032000000001</v>
      </c>
      <c r="BJ33" s="83">
        <v>65.352216999999996</v>
      </c>
    </row>
    <row r="34" spans="3:71" ht="12.95" customHeight="1" x14ac:dyDescent="0.2">
      <c r="C34" s="15"/>
      <c r="D34" s="1"/>
      <c r="E34" s="71" t="s">
        <v>9</v>
      </c>
      <c r="F34" s="21"/>
      <c r="G34" s="2"/>
      <c r="H34" s="22">
        <f t="shared" si="11"/>
        <v>0</v>
      </c>
      <c r="I34" s="2"/>
      <c r="J34" s="2"/>
      <c r="K34" s="2">
        <f t="shared" si="12"/>
        <v>0</v>
      </c>
      <c r="L34" s="21"/>
      <c r="M34" s="2"/>
      <c r="N34" s="22">
        <f t="shared" si="13"/>
        <v>0</v>
      </c>
      <c r="O34" s="21">
        <v>0.4</v>
      </c>
      <c r="P34" s="2">
        <v>0.3</v>
      </c>
      <c r="Q34" s="22">
        <f t="shared" si="14"/>
        <v>0.7</v>
      </c>
      <c r="R34" s="21">
        <f>1.2+0.7+1.7+0.1+0.1</f>
        <v>3.8</v>
      </c>
      <c r="S34" s="2">
        <f>0.9+0.3+0.5+0.1</f>
        <v>1.8</v>
      </c>
      <c r="T34" s="22">
        <f t="shared" si="15"/>
        <v>5.6</v>
      </c>
      <c r="U34" s="21">
        <v>3.7490000000000001</v>
      </c>
      <c r="V34" s="2">
        <v>1.7509999999999999</v>
      </c>
      <c r="W34" s="22">
        <f t="shared" si="16"/>
        <v>5.5</v>
      </c>
      <c r="X34" s="21">
        <v>3.5339999999999998</v>
      </c>
      <c r="Y34" s="2">
        <v>1.5549999999999999</v>
      </c>
      <c r="Z34" s="22">
        <f t="shared" si="17"/>
        <v>5.0889999999999995</v>
      </c>
      <c r="AA34" s="21">
        <f>1.51+0.123</f>
        <v>1.633</v>
      </c>
      <c r="AB34" s="2">
        <f>0.83+0.064+0.093</f>
        <v>0.98699999999999988</v>
      </c>
      <c r="AC34" s="22">
        <f t="shared" si="18"/>
        <v>2.62</v>
      </c>
      <c r="AD34" s="2">
        <v>1.598025</v>
      </c>
      <c r="AE34" s="2">
        <v>0.78298100000000004</v>
      </c>
      <c r="AF34" s="47">
        <f t="shared" si="19"/>
        <v>2.3810060000000002</v>
      </c>
      <c r="AG34" s="2">
        <f>1.481722</f>
        <v>1.481722</v>
      </c>
      <c r="AH34" s="2">
        <v>0.67931799999999998</v>
      </c>
      <c r="AI34" s="47">
        <f t="shared" si="20"/>
        <v>2.1610399999999998</v>
      </c>
      <c r="AJ34" s="21">
        <f>1.7798315</f>
        <v>1.7798315</v>
      </c>
      <c r="AK34" s="2">
        <f>0.7243666</f>
        <v>0.72436659999999997</v>
      </c>
      <c r="AL34" s="47">
        <f t="shared" si="21"/>
        <v>2.5041981</v>
      </c>
      <c r="AM34" s="2">
        <v>2.2274314</v>
      </c>
      <c r="AN34" s="2">
        <v>0.72382849999999999</v>
      </c>
      <c r="AO34" s="47">
        <v>2.9512599000000002</v>
      </c>
      <c r="AP34" s="2">
        <v>3.9299999999999997</v>
      </c>
      <c r="AQ34" s="2">
        <v>0.56999999999999995</v>
      </c>
      <c r="AR34" s="45">
        <v>4.5</v>
      </c>
      <c r="AS34" s="21">
        <v>1.956</v>
      </c>
      <c r="AT34" s="2">
        <v>0.50600000000000001</v>
      </c>
      <c r="AU34" s="45">
        <v>2.4619999999999997</v>
      </c>
      <c r="AV34" s="21">
        <v>1.7170000000000001</v>
      </c>
      <c r="AW34" s="2">
        <v>0.36099999999999999</v>
      </c>
      <c r="AX34" s="45">
        <v>2.0780000000000003</v>
      </c>
      <c r="AY34" s="21">
        <v>1.590009</v>
      </c>
      <c r="AZ34" s="2">
        <v>0.30455369999999998</v>
      </c>
      <c r="BA34" s="45">
        <v>1.8945627</v>
      </c>
      <c r="BB34" s="21">
        <v>0.79500000000000004</v>
      </c>
      <c r="BC34" s="2">
        <v>0.11700000000000001</v>
      </c>
      <c r="BD34" s="45">
        <v>0.91200000000000003</v>
      </c>
      <c r="BE34" s="21"/>
      <c r="BF34" s="2"/>
      <c r="BG34" s="45">
        <v>0</v>
      </c>
      <c r="BH34" s="29">
        <v>30.1910189</v>
      </c>
      <c r="BI34" s="30">
        <v>11.162047800000002</v>
      </c>
      <c r="BJ34" s="83">
        <v>41.353066699999999</v>
      </c>
    </row>
    <row r="35" spans="3:71" ht="12.95" customHeight="1" x14ac:dyDescent="0.2">
      <c r="C35" s="10"/>
      <c r="D35" s="11"/>
      <c r="E35" s="12" t="s">
        <v>10</v>
      </c>
      <c r="F35" s="19">
        <f>F36+F39</f>
        <v>0</v>
      </c>
      <c r="G35" s="13">
        <f>G36+G39</f>
        <v>0</v>
      </c>
      <c r="H35" s="20">
        <f t="shared" si="11"/>
        <v>0</v>
      </c>
      <c r="I35" s="13">
        <f>I36+I39</f>
        <v>0</v>
      </c>
      <c r="J35" s="13">
        <f>J36+J39</f>
        <v>0</v>
      </c>
      <c r="K35" s="13">
        <f t="shared" si="12"/>
        <v>0</v>
      </c>
      <c r="L35" s="19">
        <f>L36+L39</f>
        <v>0</v>
      </c>
      <c r="M35" s="13">
        <f>M36+M39</f>
        <v>0.66</v>
      </c>
      <c r="N35" s="20">
        <f t="shared" si="13"/>
        <v>0.66</v>
      </c>
      <c r="O35" s="19">
        <f>O36+O39</f>
        <v>2.9000000000000004</v>
      </c>
      <c r="P35" s="13">
        <f>P36+P39</f>
        <v>2.5</v>
      </c>
      <c r="Q35" s="20">
        <f t="shared" si="14"/>
        <v>5.4</v>
      </c>
      <c r="R35" s="19">
        <f>R36+R39</f>
        <v>6.1999999999999993</v>
      </c>
      <c r="S35" s="13">
        <f>S36+S39</f>
        <v>8.3999999999999986</v>
      </c>
      <c r="T35" s="20">
        <f t="shared" si="15"/>
        <v>14.599999999999998</v>
      </c>
      <c r="U35" s="19">
        <f>U36+U39</f>
        <v>4.4550000000000001</v>
      </c>
      <c r="V35" s="13">
        <f>V36+V39</f>
        <v>8.1069999999999993</v>
      </c>
      <c r="W35" s="20">
        <f t="shared" si="16"/>
        <v>12.561999999999999</v>
      </c>
      <c r="X35" s="19">
        <f>X36+X39</f>
        <v>3.0420000000000003</v>
      </c>
      <c r="Y35" s="13">
        <f>Y36+Y39</f>
        <v>9.9349999999999987</v>
      </c>
      <c r="Z35" s="20">
        <f t="shared" si="17"/>
        <v>12.976999999999999</v>
      </c>
      <c r="AA35" s="19">
        <f>AA36+AA39</f>
        <v>1.2450000000000001</v>
      </c>
      <c r="AB35" s="13">
        <f>AB36+AB39</f>
        <v>10.644999999999998</v>
      </c>
      <c r="AC35" s="20">
        <f t="shared" si="18"/>
        <v>11.889999999999997</v>
      </c>
      <c r="AD35" s="13">
        <f>AD36+AD39</f>
        <v>1.4925190000000002</v>
      </c>
      <c r="AE35" s="13">
        <f>AE36+AE39</f>
        <v>10.647729</v>
      </c>
      <c r="AF35" s="20">
        <f t="shared" si="19"/>
        <v>12.140248</v>
      </c>
      <c r="AG35" s="13">
        <f>AG36+AG39</f>
        <v>2.40503</v>
      </c>
      <c r="AH35" s="13">
        <f>AH36+AH39</f>
        <v>11.403794000000001</v>
      </c>
      <c r="AI35" s="20">
        <f t="shared" si="20"/>
        <v>13.808824000000001</v>
      </c>
      <c r="AJ35" s="19">
        <f>AJ36+AJ39</f>
        <v>2.595485</v>
      </c>
      <c r="AK35" s="13">
        <f>AK36+AK39</f>
        <v>13.1743015</v>
      </c>
      <c r="AL35" s="20">
        <f t="shared" si="21"/>
        <v>15.7697865</v>
      </c>
      <c r="AM35" s="13">
        <v>4.2892808999999996</v>
      </c>
      <c r="AN35" s="13">
        <v>13.2559515</v>
      </c>
      <c r="AO35" s="20">
        <v>17.5452324</v>
      </c>
      <c r="AP35" s="13">
        <v>4.6999999999999993</v>
      </c>
      <c r="AQ35" s="13">
        <v>11.553000000000001</v>
      </c>
      <c r="AR35" s="13">
        <v>16.253</v>
      </c>
      <c r="AS35" s="19">
        <v>5.4010000000000007</v>
      </c>
      <c r="AT35" s="13">
        <v>10.968</v>
      </c>
      <c r="AU35" s="13">
        <v>16.369</v>
      </c>
      <c r="AV35" s="19">
        <v>8.1850000000000005</v>
      </c>
      <c r="AW35" s="13">
        <v>16.151</v>
      </c>
      <c r="AX35" s="13">
        <v>24.335999999999999</v>
      </c>
      <c r="AY35" s="19">
        <v>9.6397203000000005</v>
      </c>
      <c r="AZ35" s="13">
        <v>12.6382417</v>
      </c>
      <c r="BA35" s="13">
        <v>22.277962000000002</v>
      </c>
      <c r="BB35" s="19">
        <v>6.2629999999999999</v>
      </c>
      <c r="BC35" s="13">
        <v>7.9390000000000001</v>
      </c>
      <c r="BD35" s="13">
        <v>14.202</v>
      </c>
      <c r="BE35" s="19">
        <v>0.66400000000000003</v>
      </c>
      <c r="BF35" s="13">
        <v>3.5000000000000003E-2</v>
      </c>
      <c r="BG35" s="13">
        <v>0.69900000000000007</v>
      </c>
      <c r="BH35" s="34">
        <v>63.47703520000001</v>
      </c>
      <c r="BI35" s="35">
        <v>148.01301769999998</v>
      </c>
      <c r="BJ35" s="82">
        <v>211.49005289999999</v>
      </c>
    </row>
    <row r="36" spans="3:71" ht="12.95" customHeight="1" x14ac:dyDescent="0.2">
      <c r="C36" s="15"/>
      <c r="D36" s="1"/>
      <c r="E36" s="71" t="s">
        <v>11</v>
      </c>
      <c r="F36" s="21">
        <f>F37+F38</f>
        <v>0</v>
      </c>
      <c r="G36" s="2">
        <f>G37+G38</f>
        <v>0</v>
      </c>
      <c r="H36" s="22">
        <f t="shared" si="11"/>
        <v>0</v>
      </c>
      <c r="I36" s="2">
        <f>I37+I38</f>
        <v>0</v>
      </c>
      <c r="J36" s="2">
        <f>J37+J38</f>
        <v>0</v>
      </c>
      <c r="K36" s="2">
        <f t="shared" si="12"/>
        <v>0</v>
      </c>
      <c r="L36" s="21">
        <f>L37+L38</f>
        <v>0</v>
      </c>
      <c r="M36" s="2">
        <f>M37+M38</f>
        <v>0.66</v>
      </c>
      <c r="N36" s="22">
        <f t="shared" si="13"/>
        <v>0.66</v>
      </c>
      <c r="O36" s="21">
        <f>O37+O38</f>
        <v>1.3</v>
      </c>
      <c r="P36" s="2">
        <f>P37+P38</f>
        <v>2.4</v>
      </c>
      <c r="Q36" s="22">
        <f t="shared" si="14"/>
        <v>3.7</v>
      </c>
      <c r="R36" s="21">
        <f>R37+R38</f>
        <v>4.0999999999999996</v>
      </c>
      <c r="S36" s="2">
        <f>S37+S38</f>
        <v>8.1999999999999993</v>
      </c>
      <c r="T36" s="22">
        <f t="shared" si="15"/>
        <v>12.299999999999999</v>
      </c>
      <c r="U36" s="21">
        <f>U37+U38</f>
        <v>3.2530000000000001</v>
      </c>
      <c r="V36" s="2">
        <f>V37+V38</f>
        <v>7.9909999999999997</v>
      </c>
      <c r="W36" s="22">
        <f t="shared" si="16"/>
        <v>11.244</v>
      </c>
      <c r="X36" s="21">
        <f>X37+X38</f>
        <v>0.91900000000000004</v>
      </c>
      <c r="Y36" s="2">
        <f>Y37+Y38</f>
        <v>9.8859999999999992</v>
      </c>
      <c r="Z36" s="22">
        <f t="shared" si="17"/>
        <v>10.805</v>
      </c>
      <c r="AA36" s="21">
        <f>AA37+AA38</f>
        <v>0.91100000000000003</v>
      </c>
      <c r="AB36" s="2">
        <f>AB37+AB38</f>
        <v>10.602999999999998</v>
      </c>
      <c r="AC36" s="22">
        <f t="shared" si="18"/>
        <v>11.513999999999998</v>
      </c>
      <c r="AD36" s="2">
        <f>AD37+AD38</f>
        <v>1.154293</v>
      </c>
      <c r="AE36" s="2">
        <f>AE37+AE38</f>
        <v>10.633338999999999</v>
      </c>
      <c r="AF36" s="47">
        <f t="shared" si="19"/>
        <v>11.787631999999999</v>
      </c>
      <c r="AG36" s="2">
        <f>AG37+AG38</f>
        <v>1.4495420000000001</v>
      </c>
      <c r="AH36" s="2">
        <f>AH37+AH38</f>
        <v>10.810960000000001</v>
      </c>
      <c r="AI36" s="47">
        <f t="shared" si="20"/>
        <v>12.260502000000002</v>
      </c>
      <c r="AJ36" s="21">
        <f>AJ37+AJ38</f>
        <v>2.5663586</v>
      </c>
      <c r="AK36" s="2">
        <f>AK37+AK38</f>
        <v>13.0861882</v>
      </c>
      <c r="AL36" s="47">
        <f t="shared" si="21"/>
        <v>15.6525468</v>
      </c>
      <c r="AM36" s="2">
        <v>4.2892808999999996</v>
      </c>
      <c r="AN36" s="2">
        <v>13.131967400000001</v>
      </c>
      <c r="AO36" s="47">
        <v>17.421248300000002</v>
      </c>
      <c r="AP36" s="2">
        <v>4.5399999999999991</v>
      </c>
      <c r="AQ36" s="2">
        <v>11.553000000000001</v>
      </c>
      <c r="AR36" s="45">
        <v>16.093</v>
      </c>
      <c r="AS36" s="21">
        <v>5.0180000000000007</v>
      </c>
      <c r="AT36" s="2">
        <v>10.541</v>
      </c>
      <c r="AU36" s="45">
        <v>15.559000000000001</v>
      </c>
      <c r="AV36" s="21">
        <v>8.1850000000000005</v>
      </c>
      <c r="AW36" s="2">
        <v>16.151</v>
      </c>
      <c r="AX36" s="45">
        <v>24.335999999999999</v>
      </c>
      <c r="AY36" s="21">
        <v>9.6397203000000005</v>
      </c>
      <c r="AZ36" s="2">
        <v>12.6382417</v>
      </c>
      <c r="BA36" s="45">
        <v>22.277962000000002</v>
      </c>
      <c r="BB36" s="21">
        <v>6.2629999999999999</v>
      </c>
      <c r="BC36" s="2">
        <v>7.9390000000000001</v>
      </c>
      <c r="BD36" s="45">
        <v>14.202</v>
      </c>
      <c r="BE36" s="21">
        <v>0.66400000000000003</v>
      </c>
      <c r="BF36" s="2">
        <v>3.5000000000000003E-2</v>
      </c>
      <c r="BG36" s="45">
        <v>0.69900000000000007</v>
      </c>
      <c r="BH36" s="29">
        <v>54.252194800000005</v>
      </c>
      <c r="BI36" s="30">
        <v>146.25969629999997</v>
      </c>
      <c r="BJ36" s="83">
        <v>200.51189109999999</v>
      </c>
    </row>
    <row r="37" spans="3:71" ht="12.95" customHeight="1" x14ac:dyDescent="0.2">
      <c r="C37" s="15"/>
      <c r="D37" s="1"/>
      <c r="E37" s="71" t="s">
        <v>12</v>
      </c>
      <c r="F37" s="21"/>
      <c r="G37" s="2"/>
      <c r="H37" s="22">
        <f t="shared" si="11"/>
        <v>0</v>
      </c>
      <c r="I37" s="2"/>
      <c r="J37" s="2"/>
      <c r="K37" s="2">
        <f t="shared" si="12"/>
        <v>0</v>
      </c>
      <c r="L37" s="21"/>
      <c r="M37" s="2">
        <v>0.66</v>
      </c>
      <c r="N37" s="22">
        <f t="shared" si="13"/>
        <v>0.66</v>
      </c>
      <c r="O37" s="21">
        <v>1.3</v>
      </c>
      <c r="P37" s="2">
        <v>2.4</v>
      </c>
      <c r="Q37" s="22">
        <f t="shared" si="14"/>
        <v>3.7</v>
      </c>
      <c r="R37" s="21">
        <v>4.0999999999999996</v>
      </c>
      <c r="S37" s="2">
        <v>8.1999999999999993</v>
      </c>
      <c r="T37" s="22">
        <f t="shared" si="15"/>
        <v>12.299999999999999</v>
      </c>
      <c r="U37" s="21">
        <f>4.455-1.202</f>
        <v>3.2530000000000001</v>
      </c>
      <c r="V37" s="2">
        <f>8.107-0.116</f>
        <v>7.9909999999999997</v>
      </c>
      <c r="W37" s="22">
        <f t="shared" si="16"/>
        <v>11.244</v>
      </c>
      <c r="X37" s="21">
        <f>3.036-(2.117)</f>
        <v>0.91900000000000004</v>
      </c>
      <c r="Y37" s="2">
        <f>9.935-(0.049+2.226)</f>
        <v>7.66</v>
      </c>
      <c r="Z37" s="22">
        <f t="shared" si="17"/>
        <v>8.5790000000000006</v>
      </c>
      <c r="AA37" s="21">
        <f>1.245-0.334</f>
        <v>0.91100000000000003</v>
      </c>
      <c r="AB37" s="2">
        <f>10.645-2.268-0.042</f>
        <v>8.3349999999999991</v>
      </c>
      <c r="AC37" s="22">
        <f t="shared" si="18"/>
        <v>9.2459999999999987</v>
      </c>
      <c r="AD37" s="2">
        <v>1.154293</v>
      </c>
      <c r="AE37" s="2">
        <v>8.2291589999999992</v>
      </c>
      <c r="AF37" s="47">
        <f t="shared" si="19"/>
        <v>9.3834519999999983</v>
      </c>
      <c r="AG37" s="2">
        <f>2.40503-0.955488</f>
        <v>1.4495420000000001</v>
      </c>
      <c r="AH37" s="2">
        <f>11.403794-AH38-0.592834</f>
        <v>8.2587720000000004</v>
      </c>
      <c r="AI37" s="47">
        <f t="shared" si="20"/>
        <v>9.7083140000000014</v>
      </c>
      <c r="AJ37" s="21">
        <f>0.1133135+1.1967483+1.2562968</f>
        <v>2.5663586</v>
      </c>
      <c r="AK37" s="2">
        <f>0.476607+3.7876916+8.8218896-(3.0243503)</f>
        <v>10.0618379</v>
      </c>
      <c r="AL37" s="47">
        <f t="shared" si="21"/>
        <v>12.628196500000001</v>
      </c>
      <c r="AM37" s="2">
        <v>4.2892808999999996</v>
      </c>
      <c r="AN37" s="2">
        <v>11.365545600000001</v>
      </c>
      <c r="AO37" s="47">
        <v>15.6548265</v>
      </c>
      <c r="AP37" s="2">
        <v>4.5399999999999991</v>
      </c>
      <c r="AQ37" s="2">
        <v>11.553000000000001</v>
      </c>
      <c r="AR37" s="45">
        <v>16.093</v>
      </c>
      <c r="AS37" s="21">
        <v>5.0180000000000007</v>
      </c>
      <c r="AT37" s="2">
        <v>10.541</v>
      </c>
      <c r="AU37" s="45">
        <v>15.559000000000001</v>
      </c>
      <c r="AV37" s="21">
        <v>8.1850000000000005</v>
      </c>
      <c r="AW37" s="2">
        <v>16.151</v>
      </c>
      <c r="AX37" s="45">
        <v>24.335999999999999</v>
      </c>
      <c r="AY37" s="21">
        <v>9.6397203000000005</v>
      </c>
      <c r="AZ37" s="2">
        <v>12.6382417</v>
      </c>
      <c r="BA37" s="45">
        <v>22.277962000000002</v>
      </c>
      <c r="BB37" s="21">
        <v>6.2629999999999999</v>
      </c>
      <c r="BC37" s="2">
        <v>7.9390000000000001</v>
      </c>
      <c r="BD37" s="45">
        <v>14.202</v>
      </c>
      <c r="BE37" s="21">
        <v>0.66400000000000003</v>
      </c>
      <c r="BF37" s="2">
        <v>3.5000000000000003E-2</v>
      </c>
      <c r="BG37" s="45">
        <v>0.69900000000000007</v>
      </c>
      <c r="BH37" s="29">
        <v>54.252194800000005</v>
      </c>
      <c r="BI37" s="30">
        <v>132.01855619999998</v>
      </c>
      <c r="BJ37" s="83">
        <v>186.27075099999999</v>
      </c>
    </row>
    <row r="38" spans="3:71" ht="12.95" customHeight="1" x14ac:dyDescent="0.2">
      <c r="C38" s="15"/>
      <c r="D38" s="1"/>
      <c r="E38" s="71" t="s">
        <v>17</v>
      </c>
      <c r="F38" s="21"/>
      <c r="G38" s="2"/>
      <c r="H38" s="22">
        <f t="shared" si="11"/>
        <v>0</v>
      </c>
      <c r="I38" s="2"/>
      <c r="J38" s="2"/>
      <c r="K38" s="2">
        <f t="shared" si="12"/>
        <v>0</v>
      </c>
      <c r="L38" s="21"/>
      <c r="M38" s="2"/>
      <c r="N38" s="22">
        <f t="shared" si="13"/>
        <v>0</v>
      </c>
      <c r="O38" s="21">
        <v>0</v>
      </c>
      <c r="P38" s="2">
        <v>0</v>
      </c>
      <c r="Q38" s="22">
        <f t="shared" si="14"/>
        <v>0</v>
      </c>
      <c r="R38" s="21">
        <v>0</v>
      </c>
      <c r="S38" s="2">
        <v>0</v>
      </c>
      <c r="T38" s="22">
        <f t="shared" si="15"/>
        <v>0</v>
      </c>
      <c r="U38" s="21"/>
      <c r="V38" s="2"/>
      <c r="W38" s="22">
        <f t="shared" si="16"/>
        <v>0</v>
      </c>
      <c r="X38" s="21"/>
      <c r="Y38" s="2">
        <v>2.226</v>
      </c>
      <c r="Z38" s="22">
        <f t="shared" si="17"/>
        <v>2.226</v>
      </c>
      <c r="AA38" s="21"/>
      <c r="AB38" s="2">
        <f>2.268</f>
        <v>2.2679999999999998</v>
      </c>
      <c r="AC38" s="22">
        <f t="shared" si="18"/>
        <v>2.2679999999999998</v>
      </c>
      <c r="AD38" s="2"/>
      <c r="AE38" s="2">
        <v>2.4041800000000002</v>
      </c>
      <c r="AF38" s="47">
        <f t="shared" si="19"/>
        <v>2.4041800000000002</v>
      </c>
      <c r="AG38" s="2"/>
      <c r="AH38" s="2">
        <v>2.5521880000000001</v>
      </c>
      <c r="AI38" s="47">
        <f t="shared" si="20"/>
        <v>2.5521880000000001</v>
      </c>
      <c r="AJ38" s="21"/>
      <c r="AK38" s="2">
        <v>3.0243503</v>
      </c>
      <c r="AL38" s="47">
        <f t="shared" si="21"/>
        <v>3.0243503</v>
      </c>
      <c r="AM38" s="2"/>
      <c r="AN38" s="2">
        <v>1.7664218</v>
      </c>
      <c r="AO38" s="47">
        <v>1.7664218</v>
      </c>
      <c r="AP38" s="2"/>
      <c r="AQ38" s="2"/>
      <c r="AR38" s="45">
        <v>0</v>
      </c>
      <c r="AS38" s="21"/>
      <c r="AT38" s="2"/>
      <c r="AU38" s="45">
        <v>0</v>
      </c>
      <c r="AV38" s="21"/>
      <c r="AW38" s="2"/>
      <c r="AX38" s="45">
        <v>0</v>
      </c>
      <c r="AY38" s="21"/>
      <c r="AZ38" s="2"/>
      <c r="BA38" s="45">
        <v>0</v>
      </c>
      <c r="BB38" s="21"/>
      <c r="BC38" s="2"/>
      <c r="BD38" s="45">
        <v>0</v>
      </c>
      <c r="BE38" s="21"/>
      <c r="BF38" s="2"/>
      <c r="BG38" s="45">
        <v>0</v>
      </c>
      <c r="BH38" s="29">
        <v>0</v>
      </c>
      <c r="BI38" s="30">
        <v>14.241140100000001</v>
      </c>
      <c r="BJ38" s="83">
        <v>14.241140100000001</v>
      </c>
    </row>
    <row r="39" spans="3:71" ht="12.95" customHeight="1" x14ac:dyDescent="0.2">
      <c r="C39" s="15"/>
      <c r="D39" s="1"/>
      <c r="E39" s="71" t="s">
        <v>9</v>
      </c>
      <c r="F39" s="21"/>
      <c r="G39" s="2"/>
      <c r="H39" s="22">
        <f t="shared" si="11"/>
        <v>0</v>
      </c>
      <c r="I39" s="2"/>
      <c r="J39" s="2"/>
      <c r="K39" s="2">
        <f t="shared" si="12"/>
        <v>0</v>
      </c>
      <c r="L39" s="21"/>
      <c r="M39" s="2"/>
      <c r="N39" s="22">
        <f t="shared" si="13"/>
        <v>0</v>
      </c>
      <c r="O39" s="21">
        <v>1.6</v>
      </c>
      <c r="P39" s="2">
        <v>0.1</v>
      </c>
      <c r="Q39" s="22">
        <f t="shared" si="14"/>
        <v>1.7000000000000002</v>
      </c>
      <c r="R39" s="21">
        <v>2.1</v>
      </c>
      <c r="S39" s="2">
        <v>0.2</v>
      </c>
      <c r="T39" s="22">
        <f t="shared" si="15"/>
        <v>2.3000000000000003</v>
      </c>
      <c r="U39" s="21">
        <v>1.202</v>
      </c>
      <c r="V39" s="2">
        <v>0.11600000000000001</v>
      </c>
      <c r="W39" s="22">
        <f t="shared" si="16"/>
        <v>1.3180000000000001</v>
      </c>
      <c r="X39" s="21">
        <v>2.1230000000000002</v>
      </c>
      <c r="Y39" s="2">
        <v>4.9000000000000002E-2</v>
      </c>
      <c r="Z39" s="22">
        <f t="shared" si="17"/>
        <v>2.1720000000000002</v>
      </c>
      <c r="AA39" s="21">
        <v>0.33400000000000002</v>
      </c>
      <c r="AB39" s="2">
        <v>4.2000000000000003E-2</v>
      </c>
      <c r="AC39" s="22">
        <f t="shared" si="18"/>
        <v>0.376</v>
      </c>
      <c r="AD39" s="2">
        <v>0.33822600000000003</v>
      </c>
      <c r="AE39" s="2">
        <v>1.439E-2</v>
      </c>
      <c r="AF39" s="47">
        <f t="shared" si="19"/>
        <v>0.35261600000000004</v>
      </c>
      <c r="AG39" s="2">
        <v>0.955488</v>
      </c>
      <c r="AH39" s="2">
        <v>0.59283399999999997</v>
      </c>
      <c r="AI39" s="47">
        <f t="shared" si="20"/>
        <v>1.548322</v>
      </c>
      <c r="AJ39" s="21">
        <v>2.91264E-2</v>
      </c>
      <c r="AK39" s="2">
        <f>0.0881133</f>
        <v>8.8113300000000006E-2</v>
      </c>
      <c r="AL39" s="47">
        <f t="shared" si="21"/>
        <v>0.1172397</v>
      </c>
      <c r="AM39" s="2"/>
      <c r="AN39" s="2">
        <v>0.1239841</v>
      </c>
      <c r="AO39" s="47">
        <v>0.1239841</v>
      </c>
      <c r="AP39" s="2">
        <v>0.16</v>
      </c>
      <c r="AQ39" s="2"/>
      <c r="AR39" s="45">
        <v>0.16</v>
      </c>
      <c r="AS39" s="21">
        <v>0.38300000000000001</v>
      </c>
      <c r="AT39" s="2">
        <v>0.42699999999999999</v>
      </c>
      <c r="AU39" s="45">
        <v>0.81</v>
      </c>
      <c r="AV39" s="21"/>
      <c r="AW39" s="2"/>
      <c r="AX39" s="45">
        <v>0</v>
      </c>
      <c r="AY39" s="21"/>
      <c r="AZ39" s="2"/>
      <c r="BA39" s="45">
        <v>0</v>
      </c>
      <c r="BB39" s="21"/>
      <c r="BC39" s="2"/>
      <c r="BD39" s="45">
        <v>0</v>
      </c>
      <c r="BE39" s="21"/>
      <c r="BF39" s="2"/>
      <c r="BG39" s="45">
        <v>0</v>
      </c>
      <c r="BH39" s="29">
        <v>9.2248404000000015</v>
      </c>
      <c r="BI39" s="30">
        <v>1.7533214000000001</v>
      </c>
      <c r="BJ39" s="83">
        <v>10.978161800000002</v>
      </c>
    </row>
    <row r="40" spans="3:71" ht="12.95" customHeight="1" x14ac:dyDescent="0.2">
      <c r="C40" s="10"/>
      <c r="D40" s="11"/>
      <c r="E40" s="12" t="s">
        <v>3</v>
      </c>
      <c r="F40" s="19">
        <f>F35+F30+F29</f>
        <v>0</v>
      </c>
      <c r="G40" s="13">
        <f>G35+G30+G29</f>
        <v>0</v>
      </c>
      <c r="H40" s="20">
        <f t="shared" si="11"/>
        <v>0</v>
      </c>
      <c r="I40" s="13">
        <f>I35+I30+I29</f>
        <v>0</v>
      </c>
      <c r="J40" s="13">
        <f>J35+J30+J29</f>
        <v>0</v>
      </c>
      <c r="K40" s="13">
        <f t="shared" si="12"/>
        <v>0</v>
      </c>
      <c r="L40" s="19">
        <f>L35+L30+L29</f>
        <v>0</v>
      </c>
      <c r="M40" s="13">
        <f>M35+M30+M29</f>
        <v>0.66</v>
      </c>
      <c r="N40" s="20">
        <f t="shared" si="13"/>
        <v>0.66</v>
      </c>
      <c r="O40" s="19">
        <f>O35+O30+O29</f>
        <v>18.2</v>
      </c>
      <c r="P40" s="13">
        <f>P35+P30+P29</f>
        <v>9.6</v>
      </c>
      <c r="Q40" s="20">
        <f t="shared" si="14"/>
        <v>27.799999999999997</v>
      </c>
      <c r="R40" s="19">
        <f>R35+R30+R29</f>
        <v>60.096000000000004</v>
      </c>
      <c r="S40" s="13">
        <f>S35+S30+S29</f>
        <v>24.314999999999998</v>
      </c>
      <c r="T40" s="20">
        <f t="shared" si="15"/>
        <v>84.411000000000001</v>
      </c>
      <c r="U40" s="19">
        <f>U35+U30+U29</f>
        <v>60.730000000000004</v>
      </c>
      <c r="V40" s="13">
        <f>V35+V30+V29</f>
        <v>19.641999999999996</v>
      </c>
      <c r="W40" s="20">
        <f t="shared" si="16"/>
        <v>80.372</v>
      </c>
      <c r="X40" s="19">
        <f>X35+X30+X29</f>
        <v>55.106999999999999</v>
      </c>
      <c r="Y40" s="13">
        <f>Y35+Y30+Y29</f>
        <v>27.226999999999997</v>
      </c>
      <c r="Z40" s="20">
        <f t="shared" si="17"/>
        <v>82.334000000000003</v>
      </c>
      <c r="AA40" s="19">
        <f>AA35+AA30+AA29</f>
        <v>51.483000000000004</v>
      </c>
      <c r="AB40" s="13">
        <f>AB35+AB30+AB29</f>
        <v>21.78</v>
      </c>
      <c r="AC40" s="20">
        <f t="shared" si="18"/>
        <v>73.263000000000005</v>
      </c>
      <c r="AD40" s="13">
        <f>AD35+AD30+AD29</f>
        <v>46.153699000000003</v>
      </c>
      <c r="AE40" s="13">
        <f>+AE35+AE30+AE29</f>
        <v>23.524947000000001</v>
      </c>
      <c r="AF40" s="20">
        <f t="shared" si="19"/>
        <v>69.678646000000001</v>
      </c>
      <c r="AG40" s="13">
        <f>AG35+AG30+AG29</f>
        <v>43.348983999999994</v>
      </c>
      <c r="AH40" s="13">
        <f>+AH35+AH30+AH29</f>
        <v>20.212791000000003</v>
      </c>
      <c r="AI40" s="20">
        <f t="shared" si="20"/>
        <v>63.561774999999997</v>
      </c>
      <c r="AJ40" s="19">
        <f>AJ35+AJ30+AJ29</f>
        <v>49.015905699999998</v>
      </c>
      <c r="AK40" s="13">
        <f>+AK35+AK30+AK29</f>
        <v>14.0731073</v>
      </c>
      <c r="AL40" s="20">
        <f t="shared" si="21"/>
        <v>63.089012999999994</v>
      </c>
      <c r="AM40" s="13">
        <v>86.043907000000004</v>
      </c>
      <c r="AN40" s="13">
        <v>14.1098789</v>
      </c>
      <c r="AO40" s="20">
        <v>100.1537859</v>
      </c>
      <c r="AP40" s="13">
        <v>92.340000000000018</v>
      </c>
      <c r="AQ40" s="13">
        <v>12.153</v>
      </c>
      <c r="AR40" s="13">
        <v>104.49300000000002</v>
      </c>
      <c r="AS40" s="19">
        <v>91.397000000000006</v>
      </c>
      <c r="AT40" s="13">
        <v>11.524599</v>
      </c>
      <c r="AU40" s="13">
        <v>102.921599</v>
      </c>
      <c r="AV40" s="19">
        <v>65.477999999999994</v>
      </c>
      <c r="AW40" s="13">
        <v>16.760999999999999</v>
      </c>
      <c r="AX40" s="13">
        <v>82.23899999999999</v>
      </c>
      <c r="AY40" s="19">
        <v>75.795500599999997</v>
      </c>
      <c r="AZ40" s="13">
        <v>12.9427954</v>
      </c>
      <c r="BA40" s="13">
        <v>88.738295999999991</v>
      </c>
      <c r="BB40" s="19">
        <v>71.416000000000011</v>
      </c>
      <c r="BC40" s="13">
        <v>16.422000000000001</v>
      </c>
      <c r="BD40" s="13">
        <v>87.838000000000008</v>
      </c>
      <c r="BE40" s="19">
        <v>65.468000000000004</v>
      </c>
      <c r="BF40" s="13">
        <v>15.678999999999998</v>
      </c>
      <c r="BG40" s="13">
        <v>81.147000000000006</v>
      </c>
      <c r="BH40" s="34">
        <v>932.0729963</v>
      </c>
      <c r="BI40" s="35">
        <v>260.62711859999996</v>
      </c>
      <c r="BJ40" s="82">
        <v>1192.7001149</v>
      </c>
    </row>
    <row r="41" spans="3:71" ht="12.95" customHeight="1" x14ac:dyDescent="0.2">
      <c r="C41" s="15"/>
      <c r="D41" s="1"/>
      <c r="E41" s="71"/>
      <c r="F41" s="21"/>
      <c r="G41" s="2"/>
      <c r="H41" s="22"/>
      <c r="I41" s="2"/>
      <c r="J41" s="2"/>
      <c r="K41" s="2"/>
      <c r="L41" s="21"/>
      <c r="M41" s="2"/>
      <c r="N41" s="22"/>
      <c r="O41" s="21"/>
      <c r="P41" s="2"/>
      <c r="Q41" s="22"/>
      <c r="R41" s="21"/>
      <c r="S41" s="2"/>
      <c r="T41" s="22"/>
      <c r="U41" s="21"/>
      <c r="V41" s="2"/>
      <c r="W41" s="22"/>
      <c r="X41" s="21"/>
      <c r="Y41" s="2"/>
      <c r="Z41" s="22"/>
      <c r="AA41" s="21"/>
      <c r="AB41" s="2"/>
      <c r="AC41" s="22"/>
      <c r="AD41" s="2"/>
      <c r="AE41" s="2"/>
      <c r="AF41" s="22"/>
      <c r="AG41" s="2"/>
      <c r="AH41" s="2"/>
      <c r="AI41" s="22"/>
      <c r="AJ41" s="21"/>
      <c r="AK41" s="2"/>
      <c r="AL41" s="22"/>
      <c r="AM41" s="2"/>
      <c r="AN41" s="2"/>
      <c r="AO41" s="22"/>
      <c r="AP41" s="2"/>
      <c r="AQ41" s="2"/>
      <c r="AR41" s="2"/>
      <c r="AS41" s="21"/>
      <c r="AT41" s="2"/>
      <c r="AU41" s="2"/>
      <c r="AV41" s="21"/>
      <c r="AW41" s="2"/>
      <c r="AX41" s="2"/>
      <c r="AY41" s="21"/>
      <c r="AZ41" s="2"/>
      <c r="BA41" s="2"/>
      <c r="BB41" s="21"/>
      <c r="BC41" s="2"/>
      <c r="BD41" s="2"/>
      <c r="BE41" s="21"/>
      <c r="BF41" s="2"/>
      <c r="BG41" s="2"/>
      <c r="BH41" s="36"/>
      <c r="BI41" s="37"/>
      <c r="BJ41" s="84"/>
    </row>
    <row r="42" spans="3:71" ht="12.95" customHeight="1" x14ac:dyDescent="0.2">
      <c r="C42" s="10"/>
      <c r="D42" s="11" t="s">
        <v>16</v>
      </c>
      <c r="E42" s="12"/>
      <c r="F42" s="51"/>
      <c r="G42" s="52"/>
      <c r="H42" s="53"/>
      <c r="I42" s="52"/>
      <c r="J42" s="52"/>
      <c r="K42" s="52"/>
      <c r="L42" s="51"/>
      <c r="M42" s="52"/>
      <c r="N42" s="53"/>
      <c r="O42" s="51"/>
      <c r="P42" s="52"/>
      <c r="Q42" s="53"/>
      <c r="R42" s="51"/>
      <c r="S42" s="52"/>
      <c r="T42" s="53"/>
      <c r="U42" s="51"/>
      <c r="V42" s="52"/>
      <c r="W42" s="53"/>
      <c r="X42" s="51"/>
      <c r="Y42" s="52"/>
      <c r="Z42" s="53"/>
      <c r="AA42" s="51"/>
      <c r="AB42" s="52"/>
      <c r="AC42" s="53"/>
      <c r="AD42" s="24"/>
      <c r="AE42" s="24"/>
      <c r="AF42" s="25"/>
      <c r="AG42" s="24"/>
      <c r="AH42" s="24"/>
      <c r="AI42" s="25"/>
      <c r="AJ42" s="23"/>
      <c r="AK42" s="24"/>
      <c r="AL42" s="25"/>
      <c r="AM42" s="24"/>
      <c r="AN42" s="24"/>
      <c r="AO42" s="25"/>
      <c r="AP42" s="24"/>
      <c r="AQ42" s="24"/>
      <c r="AR42" s="24"/>
      <c r="AS42" s="23"/>
      <c r="AT42" s="24"/>
      <c r="AU42" s="24"/>
      <c r="AV42" s="23"/>
      <c r="AW42" s="24"/>
      <c r="AX42" s="24"/>
      <c r="AY42" s="23"/>
      <c r="AZ42" s="24"/>
      <c r="BA42" s="24"/>
      <c r="BB42" s="23"/>
      <c r="BC42" s="24"/>
      <c r="BD42" s="24"/>
      <c r="BE42" s="23"/>
      <c r="BF42" s="24"/>
      <c r="BG42" s="24"/>
      <c r="BH42" s="64"/>
      <c r="BI42" s="65"/>
      <c r="BJ42" s="85"/>
      <c r="BK42" s="17"/>
      <c r="BL42" s="17"/>
      <c r="BM42" s="17"/>
    </row>
    <row r="43" spans="3:71" ht="6.75" customHeight="1" x14ac:dyDescent="0.2">
      <c r="C43" s="10"/>
      <c r="D43" s="11"/>
      <c r="E43" s="12"/>
      <c r="F43" s="23"/>
      <c r="G43" s="24"/>
      <c r="H43" s="25"/>
      <c r="I43" s="24"/>
      <c r="J43" s="24"/>
      <c r="K43" s="24"/>
      <c r="L43" s="23"/>
      <c r="M43" s="24"/>
      <c r="N43" s="25"/>
      <c r="O43" s="23"/>
      <c r="P43" s="24"/>
      <c r="Q43" s="25"/>
      <c r="R43" s="23"/>
      <c r="S43" s="24"/>
      <c r="T43" s="25"/>
      <c r="U43" s="23"/>
      <c r="V43" s="24"/>
      <c r="W43" s="25"/>
      <c r="X43" s="23"/>
      <c r="Y43" s="24"/>
      <c r="Z43" s="25"/>
      <c r="AA43" s="23"/>
      <c r="AB43" s="24"/>
      <c r="AC43" s="25"/>
      <c r="AD43" s="24"/>
      <c r="AE43" s="24"/>
      <c r="AF43" s="25"/>
      <c r="AG43" s="24"/>
      <c r="AH43" s="24"/>
      <c r="AI43" s="25"/>
      <c r="AJ43" s="23"/>
      <c r="AK43" s="24"/>
      <c r="AL43" s="25"/>
      <c r="AM43" s="24"/>
      <c r="AN43" s="24"/>
      <c r="AO43" s="25"/>
      <c r="AP43" s="24"/>
      <c r="AQ43" s="24"/>
      <c r="AR43" s="24"/>
      <c r="AS43" s="23"/>
      <c r="AT43" s="24"/>
      <c r="AU43" s="24"/>
      <c r="AV43" s="23"/>
      <c r="AW43" s="24"/>
      <c r="AX43" s="24"/>
      <c r="AY43" s="23"/>
      <c r="AZ43" s="24"/>
      <c r="BA43" s="24"/>
      <c r="BB43" s="23"/>
      <c r="BC43" s="24"/>
      <c r="BD43" s="24"/>
      <c r="BE43" s="23"/>
      <c r="BF43" s="24"/>
      <c r="BG43" s="24"/>
      <c r="BH43" s="38"/>
      <c r="BI43" s="39"/>
      <c r="BJ43" s="86"/>
      <c r="BK43" s="17"/>
      <c r="BL43" s="17"/>
      <c r="BM43" s="17"/>
    </row>
    <row r="44" spans="3:71" ht="12.95" customHeight="1" x14ac:dyDescent="0.2">
      <c r="C44" s="10"/>
      <c r="D44" s="11"/>
      <c r="E44" s="12" t="s">
        <v>10</v>
      </c>
      <c r="F44" s="19"/>
      <c r="G44" s="13"/>
      <c r="H44" s="20">
        <f>F44+G44</f>
        <v>0</v>
      </c>
      <c r="I44" s="13"/>
      <c r="J44" s="13"/>
      <c r="K44" s="13">
        <f>I44+J44</f>
        <v>0</v>
      </c>
      <c r="L44" s="19">
        <f>0+(0.72)</f>
        <v>0.72</v>
      </c>
      <c r="M44" s="13">
        <f>0+(0.12)</f>
        <v>0.12</v>
      </c>
      <c r="N44" s="20">
        <f>L44+M44</f>
        <v>0.84</v>
      </c>
      <c r="O44" s="19">
        <f>6.3+(2.43)</f>
        <v>8.73</v>
      </c>
      <c r="P44" s="13">
        <f>3+(0.73)</f>
        <v>3.73</v>
      </c>
      <c r="Q44" s="20">
        <f>O44+P44</f>
        <v>12.46</v>
      </c>
      <c r="R44" s="19">
        <f>20.5+(1.79)</f>
        <v>22.29</v>
      </c>
      <c r="S44" s="13">
        <f>9.3+(0.65)</f>
        <v>9.9500000000000011</v>
      </c>
      <c r="T44" s="20">
        <f>R44+S44</f>
        <v>32.24</v>
      </c>
      <c r="U44" s="19">
        <f>24.977+(4.25)</f>
        <v>29.227</v>
      </c>
      <c r="V44" s="13">
        <f>9.472+(2.33)</f>
        <v>11.802</v>
      </c>
      <c r="W44" s="20">
        <f>U44+V44</f>
        <v>41.028999999999996</v>
      </c>
      <c r="X44" s="19">
        <f>32.343+(7.298)</f>
        <v>39.641000000000005</v>
      </c>
      <c r="Y44" s="13">
        <f>10.829+(3.891)+0.013</f>
        <v>14.733000000000001</v>
      </c>
      <c r="Z44" s="20">
        <f>X44+Y44</f>
        <v>54.374000000000009</v>
      </c>
      <c r="AA44" s="19">
        <f>27.542+7.487</f>
        <v>35.029000000000003</v>
      </c>
      <c r="AB44" s="13">
        <f>9.057+3.553</f>
        <v>12.61</v>
      </c>
      <c r="AC44" s="20">
        <f>AA44+AB44</f>
        <v>47.639000000000003</v>
      </c>
      <c r="AD44" s="13">
        <v>38.861491000000001</v>
      </c>
      <c r="AE44" s="13">
        <v>12.042973999999999</v>
      </c>
      <c r="AF44" s="20">
        <f>AD44+AE44</f>
        <v>50.904465000000002</v>
      </c>
      <c r="AG44" s="13">
        <v>39.772392000000004</v>
      </c>
      <c r="AH44" s="13">
        <v>10.724610999999999</v>
      </c>
      <c r="AI44" s="20">
        <f>AG44+AH44</f>
        <v>50.497003000000007</v>
      </c>
      <c r="AJ44" s="19">
        <v>47.146647199999997</v>
      </c>
      <c r="AK44" s="13">
        <v>11.891329600000001</v>
      </c>
      <c r="AL44" s="20">
        <f>AJ44+AK44</f>
        <v>59.037976799999996</v>
      </c>
      <c r="AM44" s="13">
        <v>52.7091742</v>
      </c>
      <c r="AN44" s="13">
        <v>13.867419699999999</v>
      </c>
      <c r="AO44" s="20">
        <v>66.576593900000006</v>
      </c>
      <c r="AP44" s="13">
        <v>51.82</v>
      </c>
      <c r="AQ44" s="13">
        <v>10.71</v>
      </c>
      <c r="AR44" s="13">
        <v>62.53</v>
      </c>
      <c r="AS44" s="19">
        <v>41.848999999999997</v>
      </c>
      <c r="AT44" s="13">
        <v>10.007</v>
      </c>
      <c r="AU44" s="13">
        <v>51.855999999999995</v>
      </c>
      <c r="AV44" s="19">
        <v>39.534999999999997</v>
      </c>
      <c r="AW44" s="13">
        <v>7.585</v>
      </c>
      <c r="AX44" s="13">
        <v>47.12</v>
      </c>
      <c r="AY44" s="19">
        <v>52.717964500000001</v>
      </c>
      <c r="AZ44" s="13">
        <v>11.6947122</v>
      </c>
      <c r="BA44" s="13">
        <v>64.412676700000006</v>
      </c>
      <c r="BB44" s="19">
        <v>44.46</v>
      </c>
      <c r="BC44" s="13">
        <v>9.6180000000000003</v>
      </c>
      <c r="BD44" s="13">
        <v>54.078000000000003</v>
      </c>
      <c r="BE44" s="19">
        <v>39.292999999999999</v>
      </c>
      <c r="BF44" s="13">
        <v>6.2430000000000003</v>
      </c>
      <c r="BG44" s="13">
        <v>45.536000000000001</v>
      </c>
      <c r="BH44" s="34">
        <v>583.80166889999998</v>
      </c>
      <c r="BI44" s="35">
        <v>157.3290465</v>
      </c>
      <c r="BJ44" s="82">
        <v>741.13071539999999</v>
      </c>
    </row>
    <row r="45" spans="3:71" ht="12.95" customHeight="1" x14ac:dyDescent="0.2">
      <c r="C45" s="15"/>
      <c r="D45" s="1"/>
      <c r="E45" s="71"/>
      <c r="F45" s="21"/>
      <c r="G45" s="2"/>
      <c r="H45" s="22"/>
      <c r="I45" s="2"/>
      <c r="J45" s="2"/>
      <c r="K45" s="2"/>
      <c r="L45" s="21"/>
      <c r="M45" s="2"/>
      <c r="N45" s="22"/>
      <c r="O45" s="21"/>
      <c r="P45" s="2"/>
      <c r="Q45" s="22"/>
      <c r="R45" s="21"/>
      <c r="S45" s="2"/>
      <c r="T45" s="22"/>
      <c r="U45" s="21"/>
      <c r="V45" s="2"/>
      <c r="W45" s="22"/>
      <c r="X45" s="21"/>
      <c r="Y45" s="2"/>
      <c r="Z45" s="22"/>
      <c r="AA45" s="21"/>
      <c r="AB45" s="2"/>
      <c r="AC45" s="22"/>
      <c r="AD45" s="2"/>
      <c r="AE45" s="2"/>
      <c r="AF45" s="22"/>
      <c r="AG45" s="2"/>
      <c r="AH45" s="2"/>
      <c r="AI45" s="22"/>
      <c r="AJ45" s="21"/>
      <c r="AK45" s="2"/>
      <c r="AL45" s="22"/>
      <c r="AM45" s="2"/>
      <c r="AN45" s="2"/>
      <c r="AO45" s="22"/>
      <c r="AP45" s="2"/>
      <c r="AQ45" s="2"/>
      <c r="AR45" s="2"/>
      <c r="AS45" s="21"/>
      <c r="AT45" s="2"/>
      <c r="AU45" s="2"/>
      <c r="AV45" s="21"/>
      <c r="AW45" s="2"/>
      <c r="AX45" s="2"/>
      <c r="AY45" s="21"/>
      <c r="AZ45" s="2"/>
      <c r="BA45" s="2"/>
      <c r="BB45" s="21"/>
      <c r="BC45" s="2"/>
      <c r="BD45" s="2"/>
      <c r="BE45" s="21"/>
      <c r="BF45" s="2"/>
      <c r="BG45" s="2"/>
      <c r="BH45" s="36"/>
      <c r="BI45" s="37"/>
      <c r="BJ45" s="84"/>
    </row>
    <row r="46" spans="3:71" s="3" customFormat="1" ht="12.75" hidden="1" customHeight="1" x14ac:dyDescent="0.2">
      <c r="C46" s="10"/>
      <c r="D46" s="11"/>
      <c r="E46" s="12" t="s">
        <v>13</v>
      </c>
      <c r="F46" s="21"/>
      <c r="G46" s="2"/>
      <c r="H46" s="22"/>
      <c r="I46" s="2"/>
      <c r="J46" s="2"/>
      <c r="K46" s="2"/>
      <c r="L46" s="21"/>
      <c r="M46" s="2"/>
      <c r="N46" s="22"/>
      <c r="O46" s="21"/>
      <c r="P46" s="2"/>
      <c r="Q46" s="22"/>
      <c r="R46" s="19" t="e">
        <f>#REF!</f>
        <v>#REF!</v>
      </c>
      <c r="S46" s="13" t="e">
        <f>#REF!</f>
        <v>#REF!</v>
      </c>
      <c r="T46" s="20" t="e">
        <f>R46+S46</f>
        <v>#REF!</v>
      </c>
      <c r="U46" s="19" t="e">
        <f>#REF!</f>
        <v>#REF!</v>
      </c>
      <c r="V46" s="13" t="e">
        <f>#REF!</f>
        <v>#REF!</v>
      </c>
      <c r="W46" s="20" t="e">
        <f>U46+V46</f>
        <v>#REF!</v>
      </c>
      <c r="X46" s="19" t="e">
        <f>#REF!</f>
        <v>#REF!</v>
      </c>
      <c r="Y46" s="13" t="e">
        <f>#REF!</f>
        <v>#REF!</v>
      </c>
      <c r="Z46" s="20" t="e">
        <f>X46+Y46</f>
        <v>#REF!</v>
      </c>
      <c r="AA46" s="19" t="e">
        <f>#REF!</f>
        <v>#REF!</v>
      </c>
      <c r="AB46" s="13" t="e">
        <f>#REF!</f>
        <v>#REF!</v>
      </c>
      <c r="AC46" s="20" t="e">
        <f>AA46+AB46</f>
        <v>#REF!</v>
      </c>
      <c r="AD46" s="13"/>
      <c r="AE46" s="13"/>
      <c r="AF46" s="20"/>
      <c r="AG46" s="13"/>
      <c r="AH46" s="13"/>
      <c r="AI46" s="20"/>
      <c r="AJ46" s="19"/>
      <c r="AK46" s="13"/>
      <c r="AL46" s="20"/>
      <c r="AM46" s="13"/>
      <c r="AN46" s="13"/>
      <c r="AO46" s="20"/>
      <c r="AP46" s="13"/>
      <c r="AQ46" s="13"/>
      <c r="AR46" s="13"/>
      <c r="AS46" s="19"/>
      <c r="AT46" s="13"/>
      <c r="AU46" s="13"/>
      <c r="AV46" s="19"/>
      <c r="AW46" s="13"/>
      <c r="AX46" s="13"/>
      <c r="AY46" s="19"/>
      <c r="AZ46" s="13"/>
      <c r="BA46" s="13"/>
      <c r="BB46" s="19"/>
      <c r="BC46" s="13"/>
      <c r="BD46" s="13"/>
      <c r="BE46" s="19"/>
      <c r="BF46" s="13"/>
      <c r="BG46" s="13"/>
      <c r="BH46" s="34" t="e">
        <v>#REF!</v>
      </c>
      <c r="BI46" s="35" t="e">
        <v>#REF!</v>
      </c>
      <c r="BJ46" s="82" t="e">
        <v>#REF!</v>
      </c>
      <c r="BN46"/>
      <c r="BO46"/>
      <c r="BP46"/>
      <c r="BQ46"/>
      <c r="BR46"/>
      <c r="BS46"/>
    </row>
    <row r="47" spans="3:71" ht="12.75" customHeight="1" x14ac:dyDescent="0.2">
      <c r="C47" s="10"/>
      <c r="D47" s="11" t="s">
        <v>20</v>
      </c>
      <c r="E47" s="70"/>
      <c r="F47" s="51"/>
      <c r="G47" s="52"/>
      <c r="H47" s="53"/>
      <c r="I47" s="52"/>
      <c r="J47" s="52"/>
      <c r="K47" s="52"/>
      <c r="L47" s="51"/>
      <c r="M47" s="52"/>
      <c r="N47" s="53"/>
      <c r="O47" s="51"/>
      <c r="P47" s="52"/>
      <c r="Q47" s="53"/>
      <c r="R47" s="51"/>
      <c r="S47" s="52"/>
      <c r="T47" s="53"/>
      <c r="U47" s="51"/>
      <c r="V47" s="52"/>
      <c r="W47" s="53"/>
      <c r="X47" s="51"/>
      <c r="Y47" s="52"/>
      <c r="Z47" s="53"/>
      <c r="AA47" s="51"/>
      <c r="AB47" s="52"/>
      <c r="AC47" s="53"/>
      <c r="AD47" s="24"/>
      <c r="AE47" s="24"/>
      <c r="AF47" s="25"/>
      <c r="AG47" s="24"/>
      <c r="AH47" s="24"/>
      <c r="AI47" s="25"/>
      <c r="AJ47" s="23"/>
      <c r="AK47" s="24"/>
      <c r="AL47" s="25"/>
      <c r="AM47" s="24"/>
      <c r="AN47" s="24"/>
      <c r="AO47" s="25"/>
      <c r="AP47" s="24"/>
      <c r="AQ47" s="24"/>
      <c r="AR47" s="24"/>
      <c r="AS47" s="23"/>
      <c r="AT47" s="24"/>
      <c r="AU47" s="24"/>
      <c r="AV47" s="23"/>
      <c r="AW47" s="24"/>
      <c r="AX47" s="24"/>
      <c r="AY47" s="23"/>
      <c r="AZ47" s="24"/>
      <c r="BA47" s="24"/>
      <c r="BB47" s="23"/>
      <c r="BC47" s="24"/>
      <c r="BD47" s="24"/>
      <c r="BE47" s="23"/>
      <c r="BF47" s="24"/>
      <c r="BG47" s="24"/>
      <c r="BH47" s="64"/>
      <c r="BI47" s="65"/>
      <c r="BJ47" s="85"/>
    </row>
    <row r="48" spans="3:71" ht="6.75" customHeight="1" x14ac:dyDescent="0.2">
      <c r="C48" s="10"/>
      <c r="D48" s="11"/>
      <c r="E48" s="70"/>
      <c r="F48" s="23"/>
      <c r="G48" s="24"/>
      <c r="H48" s="25"/>
      <c r="I48" s="24"/>
      <c r="J48" s="24"/>
      <c r="K48" s="24"/>
      <c r="L48" s="23"/>
      <c r="M48" s="24"/>
      <c r="N48" s="25"/>
      <c r="O48" s="23"/>
      <c r="P48" s="24"/>
      <c r="Q48" s="25"/>
      <c r="R48" s="23"/>
      <c r="S48" s="24"/>
      <c r="T48" s="25"/>
      <c r="U48" s="23"/>
      <c r="V48" s="24"/>
      <c r="W48" s="25"/>
      <c r="X48" s="23"/>
      <c r="Y48" s="24"/>
      <c r="Z48" s="25"/>
      <c r="AA48" s="23"/>
      <c r="AB48" s="24"/>
      <c r="AC48" s="25"/>
      <c r="AD48" s="24"/>
      <c r="AE48" s="24"/>
      <c r="AF48" s="25"/>
      <c r="AG48" s="24"/>
      <c r="AH48" s="24"/>
      <c r="AI48" s="25"/>
      <c r="AJ48" s="23"/>
      <c r="AK48" s="24"/>
      <c r="AL48" s="25"/>
      <c r="AM48" s="24"/>
      <c r="AN48" s="24"/>
      <c r="AO48" s="25"/>
      <c r="AP48" s="24"/>
      <c r="AQ48" s="24"/>
      <c r="AR48" s="24"/>
      <c r="AS48" s="23"/>
      <c r="AT48" s="24"/>
      <c r="AU48" s="24"/>
      <c r="AV48" s="23"/>
      <c r="AW48" s="24"/>
      <c r="AX48" s="24"/>
      <c r="AY48" s="23"/>
      <c r="AZ48" s="24"/>
      <c r="BA48" s="24"/>
      <c r="BB48" s="23"/>
      <c r="BC48" s="24"/>
      <c r="BD48" s="24"/>
      <c r="BE48" s="23"/>
      <c r="BF48" s="24"/>
      <c r="BG48" s="24"/>
      <c r="BH48" s="38"/>
      <c r="BI48" s="39"/>
      <c r="BJ48" s="86"/>
    </row>
    <row r="49" spans="3:71" ht="12.75" customHeight="1" x14ac:dyDescent="0.2">
      <c r="C49" s="10"/>
      <c r="D49" s="11"/>
      <c r="E49" s="12" t="s">
        <v>4</v>
      </c>
      <c r="F49" s="19"/>
      <c r="G49" s="13"/>
      <c r="H49" s="20">
        <f t="shared" ref="H49:H55" si="22">F49+G49</f>
        <v>0</v>
      </c>
      <c r="I49" s="13"/>
      <c r="J49" s="13"/>
      <c r="K49" s="13">
        <f t="shared" ref="K49:K55" si="23">I49+J49</f>
        <v>0</v>
      </c>
      <c r="L49" s="19"/>
      <c r="M49" s="13"/>
      <c r="N49" s="20">
        <f t="shared" ref="N49:N55" si="24">L49+M49</f>
        <v>0</v>
      </c>
      <c r="O49" s="19"/>
      <c r="P49" s="13"/>
      <c r="Q49" s="20">
        <f t="shared" ref="Q49:Q55" si="25">O49+P49</f>
        <v>0</v>
      </c>
      <c r="R49" s="19"/>
      <c r="S49" s="13"/>
      <c r="T49" s="20">
        <f t="shared" ref="T49:T55" si="26">R49+S49</f>
        <v>0</v>
      </c>
      <c r="U49" s="19"/>
      <c r="V49" s="13"/>
      <c r="W49" s="20">
        <f t="shared" ref="W49:W55" si="27">U49+V49</f>
        <v>0</v>
      </c>
      <c r="X49" s="19"/>
      <c r="Y49" s="13"/>
      <c r="Z49" s="20">
        <f t="shared" ref="Z49:Z55" si="28">X49+Y49</f>
        <v>0</v>
      </c>
      <c r="AA49" s="19"/>
      <c r="AB49" s="13"/>
      <c r="AC49" s="20">
        <f t="shared" ref="AC49:AC55" si="29">AA49+AB49</f>
        <v>0</v>
      </c>
      <c r="AD49" s="13">
        <v>82.472728000000004</v>
      </c>
      <c r="AE49" s="13">
        <v>4.914612</v>
      </c>
      <c r="AF49" s="20">
        <f>AD49+AE49</f>
        <v>87.387340000000009</v>
      </c>
      <c r="AG49" s="13">
        <v>85.723209999999995</v>
      </c>
      <c r="AH49" s="13">
        <v>2.3612410000000001</v>
      </c>
      <c r="AI49" s="20">
        <f>AG49+AH49</f>
        <v>88.084451000000001</v>
      </c>
      <c r="AJ49" s="19">
        <v>72.444528399999996</v>
      </c>
      <c r="AK49" s="13">
        <v>2.4362803999999998</v>
      </c>
      <c r="AL49" s="20">
        <f>AJ49+AK49</f>
        <v>74.880808799999997</v>
      </c>
      <c r="AM49" s="13">
        <v>11.2140424</v>
      </c>
      <c r="AN49" s="13">
        <v>7.2246400000000002E-2</v>
      </c>
      <c r="AO49" s="20">
        <v>11.286288799999999</v>
      </c>
      <c r="AP49" s="13">
        <v>7.44</v>
      </c>
      <c r="AQ49" s="13">
        <v>1.4E-2</v>
      </c>
      <c r="AR49" s="13">
        <v>7.4540000000000006</v>
      </c>
      <c r="AS49" s="19"/>
      <c r="AT49" s="13"/>
      <c r="AU49" s="13">
        <v>0</v>
      </c>
      <c r="AV49" s="19"/>
      <c r="AW49" s="13"/>
      <c r="AX49" s="13">
        <v>0</v>
      </c>
      <c r="AY49" s="19"/>
      <c r="AZ49" s="13"/>
      <c r="BA49" s="13">
        <v>0</v>
      </c>
      <c r="BB49" s="19"/>
      <c r="BC49" s="13"/>
      <c r="BD49" s="13">
        <v>0</v>
      </c>
      <c r="BE49" s="19"/>
      <c r="BF49" s="13"/>
      <c r="BG49" s="13">
        <v>0</v>
      </c>
      <c r="BH49" s="34">
        <v>259.29450880000002</v>
      </c>
      <c r="BI49" s="35">
        <v>9.7983797999999975</v>
      </c>
      <c r="BJ49" s="82">
        <v>269.09288860000004</v>
      </c>
    </row>
    <row r="50" spans="3:71" ht="12.75" customHeight="1" x14ac:dyDescent="0.2">
      <c r="C50" s="10"/>
      <c r="D50" s="11"/>
      <c r="E50" s="12" t="s">
        <v>5</v>
      </c>
      <c r="F50" s="19">
        <f>F51+F52+F53+F54</f>
        <v>0</v>
      </c>
      <c r="G50" s="13">
        <f>G51+G52+G53+G54</f>
        <v>0</v>
      </c>
      <c r="H50" s="20">
        <f t="shared" si="22"/>
        <v>0</v>
      </c>
      <c r="I50" s="13">
        <f>I51+I52+I53+I54</f>
        <v>0</v>
      </c>
      <c r="J50" s="13">
        <f>J51+J52+J53+J54</f>
        <v>0</v>
      </c>
      <c r="K50" s="13">
        <f t="shared" si="23"/>
        <v>0</v>
      </c>
      <c r="L50" s="19">
        <f>L51+L52+L53+L54</f>
        <v>0</v>
      </c>
      <c r="M50" s="13">
        <f>M51+M52+M53+M54</f>
        <v>0</v>
      </c>
      <c r="N50" s="20">
        <f t="shared" si="24"/>
        <v>0</v>
      </c>
      <c r="O50" s="19">
        <f>O51+O52+O53+O54</f>
        <v>0</v>
      </c>
      <c r="P50" s="13">
        <f>P51+P52+P53+P54</f>
        <v>0</v>
      </c>
      <c r="Q50" s="20">
        <f t="shared" si="25"/>
        <v>0</v>
      </c>
      <c r="R50" s="19">
        <f>R51+R52+R53+R54</f>
        <v>0</v>
      </c>
      <c r="S50" s="13">
        <f>S51+S52+S53+S54</f>
        <v>0</v>
      </c>
      <c r="T50" s="20">
        <f t="shared" si="26"/>
        <v>0</v>
      </c>
      <c r="U50" s="19">
        <f>U51+U52+U53+U54</f>
        <v>0</v>
      </c>
      <c r="V50" s="13">
        <f>V51+V52+V53+V54</f>
        <v>0</v>
      </c>
      <c r="W50" s="20">
        <f t="shared" si="27"/>
        <v>0</v>
      </c>
      <c r="X50" s="19">
        <f>X51+X52+X53+X54</f>
        <v>0</v>
      </c>
      <c r="Y50" s="13">
        <f>Y51+Y52+Y53+Y54</f>
        <v>0</v>
      </c>
      <c r="Z50" s="20">
        <f t="shared" si="28"/>
        <v>0</v>
      </c>
      <c r="AA50" s="19">
        <f>AA51+AA52+AA53+AA54</f>
        <v>0</v>
      </c>
      <c r="AB50" s="13">
        <f>AB51+AB52+AB53+AB54</f>
        <v>0</v>
      </c>
      <c r="AC50" s="20">
        <f t="shared" si="29"/>
        <v>0</v>
      </c>
      <c r="AD50" s="13">
        <f>AD51+AD52+AD53+AD54</f>
        <v>4.0293150000000004</v>
      </c>
      <c r="AE50" s="13">
        <f>AE51+AE52+AE53+AE54</f>
        <v>5.17964</v>
      </c>
      <c r="AF50" s="20">
        <f>AD50+AE50</f>
        <v>9.2089549999999996</v>
      </c>
      <c r="AG50" s="13">
        <f>AG51+AG52+AG53+AG54</f>
        <v>27.655602000000002</v>
      </c>
      <c r="AH50" s="13">
        <f>AH51+AH52+AH53+AH54</f>
        <v>22.130552000000002</v>
      </c>
      <c r="AI50" s="20">
        <f>AG50+AH50</f>
        <v>49.786154000000003</v>
      </c>
      <c r="AJ50" s="19">
        <f>AJ51+AJ52+AJ53+AJ54</f>
        <v>40.581698099999997</v>
      </c>
      <c r="AK50" s="13">
        <f>AK51+AK52+AK53+AK54</f>
        <v>29.263809800000001</v>
      </c>
      <c r="AL50" s="20">
        <f>AJ50+AK50</f>
        <v>69.845507900000001</v>
      </c>
      <c r="AM50" s="13">
        <v>34.441561700000001</v>
      </c>
      <c r="AN50" s="13">
        <v>26.237446900000002</v>
      </c>
      <c r="AO50" s="20">
        <v>60.679008600000003</v>
      </c>
      <c r="AP50" s="13">
        <v>24.567</v>
      </c>
      <c r="AQ50" s="13">
        <v>25.809000000000001</v>
      </c>
      <c r="AR50" s="13">
        <v>50.376000000000005</v>
      </c>
      <c r="AS50" s="19">
        <v>37.085999999999999</v>
      </c>
      <c r="AT50" s="13">
        <v>25.832999999999998</v>
      </c>
      <c r="AU50" s="13">
        <v>62.918999999999997</v>
      </c>
      <c r="AV50" s="19">
        <v>48.459999999999994</v>
      </c>
      <c r="AW50" s="13">
        <v>23.858000000000001</v>
      </c>
      <c r="AX50" s="13">
        <v>72.317999999999998</v>
      </c>
      <c r="AY50" s="19">
        <v>40.454606200000001</v>
      </c>
      <c r="AZ50" s="13">
        <v>18.611516399999999</v>
      </c>
      <c r="BA50" s="13">
        <v>59.0661226</v>
      </c>
      <c r="BB50" s="19">
        <v>23.038</v>
      </c>
      <c r="BC50" s="13">
        <v>9.3360000000000003</v>
      </c>
      <c r="BD50" s="13">
        <v>32.374000000000002</v>
      </c>
      <c r="BE50" s="19">
        <v>11.268000000000001</v>
      </c>
      <c r="BF50" s="13">
        <v>2.371</v>
      </c>
      <c r="BG50" s="13">
        <v>13.639000000000001</v>
      </c>
      <c r="BH50" s="34">
        <v>291.58178299999997</v>
      </c>
      <c r="BI50" s="35">
        <v>188.62996510000002</v>
      </c>
      <c r="BJ50" s="82">
        <v>480.21174810000002</v>
      </c>
    </row>
    <row r="51" spans="3:71" ht="12.75" customHeight="1" x14ac:dyDescent="0.2">
      <c r="C51" s="15"/>
      <c r="D51" s="1"/>
      <c r="E51" s="71" t="s">
        <v>6</v>
      </c>
      <c r="F51" s="21"/>
      <c r="G51" s="2"/>
      <c r="H51" s="22">
        <f t="shared" si="22"/>
        <v>0</v>
      </c>
      <c r="I51" s="2"/>
      <c r="J51" s="2"/>
      <c r="K51" s="2">
        <f t="shared" si="23"/>
        <v>0</v>
      </c>
      <c r="L51" s="21"/>
      <c r="M51" s="2"/>
      <c r="N51" s="22">
        <f t="shared" si="24"/>
        <v>0</v>
      </c>
      <c r="O51" s="21"/>
      <c r="P51" s="2"/>
      <c r="Q51" s="22">
        <f t="shared" si="25"/>
        <v>0</v>
      </c>
      <c r="R51" s="21"/>
      <c r="S51" s="2"/>
      <c r="T51" s="22">
        <f t="shared" si="26"/>
        <v>0</v>
      </c>
      <c r="U51" s="21"/>
      <c r="V51" s="2"/>
      <c r="W51" s="22">
        <f t="shared" si="27"/>
        <v>0</v>
      </c>
      <c r="X51" s="21"/>
      <c r="Y51" s="2"/>
      <c r="Z51" s="22">
        <f t="shared" si="28"/>
        <v>0</v>
      </c>
      <c r="AA51" s="21"/>
      <c r="AB51" s="2"/>
      <c r="AC51" s="22">
        <f t="shared" si="29"/>
        <v>0</v>
      </c>
      <c r="AD51" s="2"/>
      <c r="AE51" s="2"/>
      <c r="AF51" s="47"/>
      <c r="AG51" s="2">
        <v>16.712147000000002</v>
      </c>
      <c r="AH51" s="2">
        <v>10.455899</v>
      </c>
      <c r="AI51" s="47">
        <f>+AG51+AH51</f>
        <v>27.168046000000004</v>
      </c>
      <c r="AJ51" s="21">
        <v>31.351011199999999</v>
      </c>
      <c r="AK51" s="2">
        <v>17.056659100000001</v>
      </c>
      <c r="AL51" s="47">
        <f>+AJ51+AK51</f>
        <v>48.407670299999999</v>
      </c>
      <c r="AM51" s="2">
        <v>23.830115200000002</v>
      </c>
      <c r="AN51" s="2">
        <v>15.443858000000001</v>
      </c>
      <c r="AO51" s="47">
        <v>39.2739732</v>
      </c>
      <c r="AP51" s="2">
        <v>15.151</v>
      </c>
      <c r="AQ51" s="2">
        <v>15.195</v>
      </c>
      <c r="AR51" s="45">
        <v>30.346</v>
      </c>
      <c r="AS51" s="21">
        <v>21.571000000000002</v>
      </c>
      <c r="AT51" s="2">
        <v>15.118</v>
      </c>
      <c r="AU51" s="45">
        <v>36.689</v>
      </c>
      <c r="AV51" s="21">
        <v>23.867999999999999</v>
      </c>
      <c r="AW51" s="2">
        <v>13.547000000000001</v>
      </c>
      <c r="AX51" s="45">
        <v>37.414999999999999</v>
      </c>
      <c r="AY51" s="21">
        <v>19.431842899999999</v>
      </c>
      <c r="AZ51" s="2">
        <v>10.481989499999999</v>
      </c>
      <c r="BA51" s="45">
        <v>29.913832399999997</v>
      </c>
      <c r="BB51" s="21">
        <v>12.077999999999999</v>
      </c>
      <c r="BC51" s="2">
        <v>5.6680000000000001</v>
      </c>
      <c r="BD51" s="45">
        <v>17.745999999999999</v>
      </c>
      <c r="BE51" s="21">
        <v>6.5640000000000001</v>
      </c>
      <c r="BF51" s="2">
        <v>1.8759999999999999</v>
      </c>
      <c r="BG51" s="45">
        <v>8.44</v>
      </c>
      <c r="BH51" s="29">
        <v>170.55711629999999</v>
      </c>
      <c r="BI51" s="30">
        <v>104.84240560000001</v>
      </c>
      <c r="BJ51" s="83">
        <v>275.39952189999997</v>
      </c>
    </row>
    <row r="52" spans="3:71" ht="12.75" customHeight="1" x14ac:dyDescent="0.2">
      <c r="C52" s="15"/>
      <c r="D52" s="1"/>
      <c r="E52" s="71" t="s">
        <v>7</v>
      </c>
      <c r="F52" s="21"/>
      <c r="G52" s="2"/>
      <c r="H52" s="22">
        <f t="shared" si="22"/>
        <v>0</v>
      </c>
      <c r="I52" s="2"/>
      <c r="J52" s="2"/>
      <c r="K52" s="2">
        <f t="shared" si="23"/>
        <v>0</v>
      </c>
      <c r="L52" s="21"/>
      <c r="M52" s="2"/>
      <c r="N52" s="22">
        <f t="shared" si="24"/>
        <v>0</v>
      </c>
      <c r="O52" s="21"/>
      <c r="P52" s="2"/>
      <c r="Q52" s="22">
        <f t="shared" si="25"/>
        <v>0</v>
      </c>
      <c r="R52" s="21"/>
      <c r="S52" s="2"/>
      <c r="T52" s="22">
        <f t="shared" si="26"/>
        <v>0</v>
      </c>
      <c r="U52" s="21"/>
      <c r="V52" s="2"/>
      <c r="W52" s="22">
        <f t="shared" si="27"/>
        <v>0</v>
      </c>
      <c r="X52" s="21"/>
      <c r="Y52" s="2"/>
      <c r="Z52" s="22">
        <f t="shared" si="28"/>
        <v>0</v>
      </c>
      <c r="AA52" s="21"/>
      <c r="AB52" s="2"/>
      <c r="AC52" s="22">
        <f t="shared" si="29"/>
        <v>0</v>
      </c>
      <c r="AD52" s="2">
        <v>4.0293150000000004</v>
      </c>
      <c r="AE52" s="2">
        <v>5.17964</v>
      </c>
      <c r="AF52" s="47">
        <f>AD52+AE52</f>
        <v>9.2089549999999996</v>
      </c>
      <c r="AG52" s="2">
        <v>10.943455</v>
      </c>
      <c r="AH52" s="2">
        <v>11.674652999999999</v>
      </c>
      <c r="AI52" s="47">
        <f>AG52+AH52</f>
        <v>22.618107999999999</v>
      </c>
      <c r="AJ52" s="21">
        <v>9.2306869000000003</v>
      </c>
      <c r="AK52" s="2">
        <v>12.2071507</v>
      </c>
      <c r="AL52" s="47">
        <f>AJ52+AK52</f>
        <v>21.437837600000002</v>
      </c>
      <c r="AM52" s="2">
        <v>10.6114465</v>
      </c>
      <c r="AN52" s="2">
        <v>10.7935889</v>
      </c>
      <c r="AO52" s="47">
        <v>21.405035399999999</v>
      </c>
      <c r="AP52" s="2">
        <v>9.4160000000000004</v>
      </c>
      <c r="AQ52" s="2">
        <v>10.614000000000001</v>
      </c>
      <c r="AR52" s="45">
        <v>20.03</v>
      </c>
      <c r="AS52" s="21">
        <v>15.515000000000001</v>
      </c>
      <c r="AT52" s="2">
        <v>10.715</v>
      </c>
      <c r="AU52" s="45">
        <v>26.23</v>
      </c>
      <c r="AV52" s="21">
        <v>24.591999999999999</v>
      </c>
      <c r="AW52" s="2">
        <v>10.311</v>
      </c>
      <c r="AX52" s="45">
        <v>34.902999999999999</v>
      </c>
      <c r="AY52" s="21">
        <v>21.022763300000001</v>
      </c>
      <c r="AZ52" s="2">
        <v>8.1295269000000001</v>
      </c>
      <c r="BA52" s="45">
        <v>29.152290200000003</v>
      </c>
      <c r="BB52" s="21">
        <v>10.96</v>
      </c>
      <c r="BC52" s="2">
        <v>3.6680000000000001</v>
      </c>
      <c r="BD52" s="45">
        <v>14.628</v>
      </c>
      <c r="BE52" s="21">
        <v>4.7039999999999997</v>
      </c>
      <c r="BF52" s="2">
        <v>0.495</v>
      </c>
      <c r="BG52" s="45">
        <v>5.1989999999999998</v>
      </c>
      <c r="BH52" s="29">
        <v>121.0246667</v>
      </c>
      <c r="BI52" s="30">
        <v>83.787559500000015</v>
      </c>
      <c r="BJ52" s="83">
        <v>204.8122262</v>
      </c>
    </row>
    <row r="53" spans="3:71" ht="12.75" hidden="1" customHeight="1" x14ac:dyDescent="0.2">
      <c r="C53" s="15"/>
      <c r="D53" s="1"/>
      <c r="E53" s="71" t="s">
        <v>8</v>
      </c>
      <c r="F53" s="21"/>
      <c r="G53" s="2"/>
      <c r="H53" s="22">
        <f t="shared" si="22"/>
        <v>0</v>
      </c>
      <c r="I53" s="2"/>
      <c r="J53" s="2"/>
      <c r="K53" s="2">
        <f t="shared" si="23"/>
        <v>0</v>
      </c>
      <c r="L53" s="21"/>
      <c r="M53" s="2"/>
      <c r="N53" s="22">
        <f t="shared" si="24"/>
        <v>0</v>
      </c>
      <c r="O53" s="21"/>
      <c r="P53" s="2"/>
      <c r="Q53" s="22">
        <f t="shared" si="25"/>
        <v>0</v>
      </c>
      <c r="R53" s="21"/>
      <c r="S53" s="2"/>
      <c r="T53" s="22">
        <f t="shared" si="26"/>
        <v>0</v>
      </c>
      <c r="U53" s="21"/>
      <c r="V53" s="2"/>
      <c r="W53" s="22">
        <f t="shared" si="27"/>
        <v>0</v>
      </c>
      <c r="X53" s="21"/>
      <c r="Y53" s="2"/>
      <c r="Z53" s="22">
        <f t="shared" si="28"/>
        <v>0</v>
      </c>
      <c r="AA53" s="21"/>
      <c r="AB53" s="2"/>
      <c r="AC53" s="22">
        <f t="shared" si="29"/>
        <v>0</v>
      </c>
      <c r="AD53" s="2"/>
      <c r="AE53" s="2"/>
      <c r="AF53" s="47">
        <f>AD53+AE53</f>
        <v>0</v>
      </c>
      <c r="AG53" s="2"/>
      <c r="AH53" s="2"/>
      <c r="AI53" s="47">
        <f>AG53+AH53</f>
        <v>0</v>
      </c>
      <c r="AJ53" s="21"/>
      <c r="AK53" s="2"/>
      <c r="AL53" s="47">
        <f>AJ53+AK53</f>
        <v>0</v>
      </c>
      <c r="AM53" s="2"/>
      <c r="AN53" s="2"/>
      <c r="AO53" s="47">
        <v>0</v>
      </c>
      <c r="AP53" s="2"/>
      <c r="AQ53" s="2"/>
      <c r="AR53" s="45">
        <v>0</v>
      </c>
      <c r="AS53" s="21"/>
      <c r="AT53" s="2"/>
      <c r="AU53" s="45">
        <v>0</v>
      </c>
      <c r="AV53" s="21"/>
      <c r="AW53" s="2"/>
      <c r="AX53" s="45">
        <v>0</v>
      </c>
      <c r="AY53" s="21"/>
      <c r="AZ53" s="2"/>
      <c r="BA53" s="45">
        <v>0</v>
      </c>
      <c r="BB53" s="21"/>
      <c r="BC53" s="2"/>
      <c r="BD53" s="45">
        <v>0</v>
      </c>
      <c r="BE53" s="21"/>
      <c r="BF53" s="2"/>
      <c r="BG53" s="45">
        <v>0</v>
      </c>
      <c r="BH53" s="29">
        <v>0</v>
      </c>
      <c r="BI53" s="30">
        <v>0</v>
      </c>
      <c r="BJ53" s="83">
        <v>0</v>
      </c>
    </row>
    <row r="54" spans="3:71" ht="12.75" hidden="1" customHeight="1" x14ac:dyDescent="0.2">
      <c r="C54" s="15"/>
      <c r="D54" s="1"/>
      <c r="E54" s="71" t="s">
        <v>9</v>
      </c>
      <c r="F54" s="21"/>
      <c r="G54" s="2"/>
      <c r="H54" s="22">
        <f t="shared" si="22"/>
        <v>0</v>
      </c>
      <c r="I54" s="2"/>
      <c r="J54" s="2"/>
      <c r="K54" s="2">
        <f t="shared" si="23"/>
        <v>0</v>
      </c>
      <c r="L54" s="21"/>
      <c r="M54" s="2"/>
      <c r="N54" s="22">
        <f t="shared" si="24"/>
        <v>0</v>
      </c>
      <c r="O54" s="21"/>
      <c r="P54" s="2"/>
      <c r="Q54" s="22">
        <f t="shared" si="25"/>
        <v>0</v>
      </c>
      <c r="R54" s="21"/>
      <c r="S54" s="2"/>
      <c r="T54" s="22">
        <f t="shared" si="26"/>
        <v>0</v>
      </c>
      <c r="U54" s="21"/>
      <c r="V54" s="2"/>
      <c r="W54" s="22">
        <f t="shared" si="27"/>
        <v>0</v>
      </c>
      <c r="X54" s="21"/>
      <c r="Y54" s="2"/>
      <c r="Z54" s="22">
        <f t="shared" si="28"/>
        <v>0</v>
      </c>
      <c r="AA54" s="21"/>
      <c r="AB54" s="2"/>
      <c r="AC54" s="22">
        <f t="shared" si="29"/>
        <v>0</v>
      </c>
      <c r="AD54" s="2"/>
      <c r="AE54" s="2"/>
      <c r="AF54" s="47">
        <f>AD54+AE54</f>
        <v>0</v>
      </c>
      <c r="AG54" s="2"/>
      <c r="AH54" s="2"/>
      <c r="AI54" s="47">
        <f>AG54+AH54</f>
        <v>0</v>
      </c>
      <c r="AJ54" s="21"/>
      <c r="AK54" s="2"/>
      <c r="AL54" s="47">
        <f>AJ54+AK54</f>
        <v>0</v>
      </c>
      <c r="AM54" s="2"/>
      <c r="AN54" s="2"/>
      <c r="AO54" s="47">
        <v>0</v>
      </c>
      <c r="AP54" s="2"/>
      <c r="AQ54" s="2"/>
      <c r="AR54" s="45">
        <v>0</v>
      </c>
      <c r="AS54" s="21"/>
      <c r="AT54" s="2"/>
      <c r="AU54" s="45">
        <v>0</v>
      </c>
      <c r="AV54" s="21"/>
      <c r="AW54" s="2"/>
      <c r="AX54" s="45">
        <v>0</v>
      </c>
      <c r="AY54" s="21"/>
      <c r="AZ54" s="2"/>
      <c r="BA54" s="45">
        <v>0</v>
      </c>
      <c r="BB54" s="21"/>
      <c r="BC54" s="2"/>
      <c r="BD54" s="45">
        <v>0</v>
      </c>
      <c r="BE54" s="21"/>
      <c r="BF54" s="2"/>
      <c r="BG54" s="45">
        <v>0</v>
      </c>
      <c r="BH54" s="29">
        <v>0</v>
      </c>
      <c r="BI54" s="30">
        <v>0</v>
      </c>
      <c r="BJ54" s="83">
        <v>0</v>
      </c>
    </row>
    <row r="55" spans="3:71" ht="12.75" customHeight="1" x14ac:dyDescent="0.2">
      <c r="C55" s="10"/>
      <c r="D55" s="11"/>
      <c r="E55" s="12" t="s">
        <v>3</v>
      </c>
      <c r="F55" s="19">
        <f>F50+F49</f>
        <v>0</v>
      </c>
      <c r="G55" s="13">
        <f>G50+G49</f>
        <v>0</v>
      </c>
      <c r="H55" s="20">
        <f t="shared" si="22"/>
        <v>0</v>
      </c>
      <c r="I55" s="13">
        <f>I50+I49</f>
        <v>0</v>
      </c>
      <c r="J55" s="13">
        <f>J50+J49</f>
        <v>0</v>
      </c>
      <c r="K55" s="13">
        <f t="shared" si="23"/>
        <v>0</v>
      </c>
      <c r="L55" s="19">
        <f>L50+L49</f>
        <v>0</v>
      </c>
      <c r="M55" s="13">
        <f>M50+M49</f>
        <v>0</v>
      </c>
      <c r="N55" s="20">
        <f t="shared" si="24"/>
        <v>0</v>
      </c>
      <c r="O55" s="19">
        <f>O50+O49</f>
        <v>0</v>
      </c>
      <c r="P55" s="13">
        <f>P50+P49</f>
        <v>0</v>
      </c>
      <c r="Q55" s="20">
        <f t="shared" si="25"/>
        <v>0</v>
      </c>
      <c r="R55" s="19">
        <f>R50+R49</f>
        <v>0</v>
      </c>
      <c r="S55" s="13">
        <f>S50+S49</f>
        <v>0</v>
      </c>
      <c r="T55" s="20">
        <f t="shared" si="26"/>
        <v>0</v>
      </c>
      <c r="U55" s="19">
        <f>U50+U49</f>
        <v>0</v>
      </c>
      <c r="V55" s="13">
        <f>V50+V49</f>
        <v>0</v>
      </c>
      <c r="W55" s="20">
        <f t="shared" si="27"/>
        <v>0</v>
      </c>
      <c r="X55" s="19">
        <f>X50+X49</f>
        <v>0</v>
      </c>
      <c r="Y55" s="13">
        <f>Y50+Y49</f>
        <v>0</v>
      </c>
      <c r="Z55" s="20">
        <f t="shared" si="28"/>
        <v>0</v>
      </c>
      <c r="AA55" s="19">
        <f>AA50+AA49</f>
        <v>0</v>
      </c>
      <c r="AB55" s="13">
        <f>AB50+AB49</f>
        <v>0</v>
      </c>
      <c r="AC55" s="20">
        <f t="shared" si="29"/>
        <v>0</v>
      </c>
      <c r="AD55" s="13">
        <f>+AD49+AD50</f>
        <v>86.502043</v>
      </c>
      <c r="AE55" s="13">
        <f>+AE49+AE50</f>
        <v>10.094252000000001</v>
      </c>
      <c r="AF55" s="20">
        <f>AD55+AE55</f>
        <v>96.596294999999998</v>
      </c>
      <c r="AG55" s="13">
        <f>+AG49+AG50</f>
        <v>113.378812</v>
      </c>
      <c r="AH55" s="13">
        <f>+AH49+AH50</f>
        <v>24.491793000000001</v>
      </c>
      <c r="AI55" s="20">
        <f>AG55+AH55</f>
        <v>137.87060500000001</v>
      </c>
      <c r="AJ55" s="19">
        <f>+AJ49+AJ50</f>
        <v>113.02622649999999</v>
      </c>
      <c r="AK55" s="13">
        <f>+AK49+AK50</f>
        <v>31.700090200000002</v>
      </c>
      <c r="AL55" s="20">
        <f>AJ55+AK55</f>
        <v>144.72631669999998</v>
      </c>
      <c r="AM55" s="13">
        <v>45.655604100000005</v>
      </c>
      <c r="AN55" s="13">
        <v>26.309693300000003</v>
      </c>
      <c r="AO55" s="20">
        <v>71.965297400000011</v>
      </c>
      <c r="AP55" s="13">
        <v>32.006999999999998</v>
      </c>
      <c r="AQ55" s="13">
        <v>25.823</v>
      </c>
      <c r="AR55" s="13">
        <v>57.83</v>
      </c>
      <c r="AS55" s="19">
        <v>37.085999999999999</v>
      </c>
      <c r="AT55" s="13">
        <v>25.832999999999998</v>
      </c>
      <c r="AU55" s="13">
        <v>62.918999999999997</v>
      </c>
      <c r="AV55" s="19">
        <v>48.459999999999994</v>
      </c>
      <c r="AW55" s="13">
        <v>23.858000000000001</v>
      </c>
      <c r="AX55" s="13">
        <v>72.317999999999998</v>
      </c>
      <c r="AY55" s="19">
        <v>40.454606200000001</v>
      </c>
      <c r="AZ55" s="13">
        <v>18.611516399999999</v>
      </c>
      <c r="BA55" s="13">
        <v>59.0661226</v>
      </c>
      <c r="BB55" s="19">
        <v>23.038</v>
      </c>
      <c r="BC55" s="13">
        <v>9.3360000000000003</v>
      </c>
      <c r="BD55" s="13">
        <v>32.374000000000002</v>
      </c>
      <c r="BE55" s="19">
        <v>11.268000000000001</v>
      </c>
      <c r="BF55" s="13">
        <v>2.371</v>
      </c>
      <c r="BG55" s="13">
        <v>13.639000000000001</v>
      </c>
      <c r="BH55" s="34">
        <v>550.87629179999999</v>
      </c>
      <c r="BI55" s="35">
        <v>198.42834490000004</v>
      </c>
      <c r="BJ55" s="82">
        <v>749.30463670000006</v>
      </c>
    </row>
    <row r="56" spans="3:71" ht="12.75" customHeight="1" x14ac:dyDescent="0.2">
      <c r="C56" s="15"/>
      <c r="D56" s="1"/>
      <c r="E56" s="71"/>
      <c r="F56" s="23"/>
      <c r="G56" s="31"/>
      <c r="H56" s="32"/>
      <c r="I56" s="24"/>
      <c r="J56" s="31"/>
      <c r="K56" s="31"/>
      <c r="L56" s="23"/>
      <c r="M56" s="31"/>
      <c r="N56" s="32"/>
      <c r="O56" s="23"/>
      <c r="P56" s="31"/>
      <c r="Q56" s="32"/>
      <c r="R56" s="21"/>
      <c r="S56" s="2"/>
      <c r="T56" s="22"/>
      <c r="U56" s="21"/>
      <c r="V56" s="2"/>
      <c r="W56" s="22"/>
      <c r="X56" s="21"/>
      <c r="Y56" s="2"/>
      <c r="Z56" s="22"/>
      <c r="AA56" s="21"/>
      <c r="AB56" s="2"/>
      <c r="AC56" s="22"/>
      <c r="AD56" s="2"/>
      <c r="AE56" s="2"/>
      <c r="AF56" s="22"/>
      <c r="AG56" s="2"/>
      <c r="AH56" s="2"/>
      <c r="AI56" s="22"/>
      <c r="AJ56" s="21"/>
      <c r="AK56" s="2"/>
      <c r="AL56" s="22"/>
      <c r="AM56" s="2"/>
      <c r="AN56" s="2"/>
      <c r="AO56" s="22"/>
      <c r="AP56" s="2"/>
      <c r="AQ56" s="2"/>
      <c r="AR56" s="2"/>
      <c r="AS56" s="21"/>
      <c r="AT56" s="2"/>
      <c r="AU56" s="2"/>
      <c r="AV56" s="21"/>
      <c r="AW56" s="2"/>
      <c r="AX56" s="2"/>
      <c r="AY56" s="21"/>
      <c r="AZ56" s="2"/>
      <c r="BA56" s="2"/>
      <c r="BB56" s="21"/>
      <c r="BC56" s="2"/>
      <c r="BD56" s="2"/>
      <c r="BE56" s="21"/>
      <c r="BF56" s="2"/>
      <c r="BG56" s="2"/>
      <c r="BH56" s="36"/>
      <c r="BI56" s="37"/>
      <c r="BJ56" s="84"/>
    </row>
    <row r="57" spans="3:71" ht="5.25" customHeight="1" x14ac:dyDescent="0.2">
      <c r="C57" s="7"/>
      <c r="D57" s="8"/>
      <c r="E57" s="9"/>
      <c r="F57" s="54"/>
      <c r="G57" s="55"/>
      <c r="H57" s="56"/>
      <c r="I57" s="66"/>
      <c r="J57" s="55"/>
      <c r="K57" s="55"/>
      <c r="L57" s="54"/>
      <c r="M57" s="55"/>
      <c r="N57" s="56"/>
      <c r="O57" s="54"/>
      <c r="P57" s="55"/>
      <c r="Q57" s="56"/>
      <c r="R57" s="54"/>
      <c r="S57" s="55"/>
      <c r="T57" s="56"/>
      <c r="U57" s="54"/>
      <c r="V57" s="55"/>
      <c r="W57" s="56"/>
      <c r="X57" s="54"/>
      <c r="Y57" s="55"/>
      <c r="Z57" s="56"/>
      <c r="AA57" s="54"/>
      <c r="AB57" s="55"/>
      <c r="AC57" s="56"/>
      <c r="AD57" s="42"/>
      <c r="AE57" s="42"/>
      <c r="AF57" s="46"/>
      <c r="AG57" s="42"/>
      <c r="AH57" s="42"/>
      <c r="AI57" s="46"/>
      <c r="AJ57" s="48"/>
      <c r="AK57" s="42"/>
      <c r="AL57" s="46"/>
      <c r="AM57" s="42"/>
      <c r="AN57" s="42"/>
      <c r="AO57" s="46"/>
      <c r="AP57" s="42"/>
      <c r="AQ57" s="42"/>
      <c r="AR57" s="42"/>
      <c r="AS57" s="48"/>
      <c r="AT57" s="42"/>
      <c r="AU57" s="42"/>
      <c r="AV57" s="48"/>
      <c r="AW57" s="42"/>
      <c r="AX57" s="42"/>
      <c r="AY57" s="48"/>
      <c r="AZ57" s="42"/>
      <c r="BA57" s="42"/>
      <c r="BB57" s="48"/>
      <c r="BC57" s="42"/>
      <c r="BD57" s="42"/>
      <c r="BE57" s="48"/>
      <c r="BF57" s="42"/>
      <c r="BG57" s="42"/>
      <c r="BH57" s="62"/>
      <c r="BI57" s="63"/>
      <c r="BJ57" s="87"/>
    </row>
    <row r="58" spans="3:71" s="3" customFormat="1" x14ac:dyDescent="0.2">
      <c r="C58" s="10"/>
      <c r="D58" s="11" t="s">
        <v>21</v>
      </c>
      <c r="E58" s="12"/>
      <c r="F58" s="19">
        <f>F25+F40+F44</f>
        <v>23.677</v>
      </c>
      <c r="G58" s="13">
        <f>G25+G40+G44</f>
        <v>3.0430000000000001</v>
      </c>
      <c r="H58" s="20">
        <f>F58+G58</f>
        <v>26.72</v>
      </c>
      <c r="I58" s="13">
        <f>I25+I40+I44</f>
        <v>37.832000000000001</v>
      </c>
      <c r="J58" s="13">
        <f>J25+J40+J44</f>
        <v>46.85199999999999</v>
      </c>
      <c r="K58" s="13">
        <f>I58+J58</f>
        <v>84.683999999999997</v>
      </c>
      <c r="L58" s="19">
        <f>L25+L40+L44</f>
        <v>39.869</v>
      </c>
      <c r="M58" s="13">
        <f>M25+M40+M44</f>
        <v>40.650999999999989</v>
      </c>
      <c r="N58" s="20">
        <f>L58+M58</f>
        <v>80.519999999999982</v>
      </c>
      <c r="O58" s="19">
        <f>O25+O40+O44</f>
        <v>52.048000000000002</v>
      </c>
      <c r="P58" s="13">
        <f>P25+P40+P44</f>
        <v>46.932999999999993</v>
      </c>
      <c r="Q58" s="20">
        <f>O58+P58</f>
        <v>98.980999999999995</v>
      </c>
      <c r="R58" s="19">
        <f>R25+R40+R44</f>
        <v>97.950999999999993</v>
      </c>
      <c r="S58" s="13">
        <f>S25+S40+S44</f>
        <v>61.238999999999997</v>
      </c>
      <c r="T58" s="20">
        <f>R58+S58</f>
        <v>159.19</v>
      </c>
      <c r="U58" s="19">
        <f>U25+U40+U44</f>
        <v>99.904000000000011</v>
      </c>
      <c r="V58" s="13">
        <f>V25+V40+V44</f>
        <v>60.053999999999995</v>
      </c>
      <c r="W58" s="20">
        <f>U58+V58</f>
        <v>159.958</v>
      </c>
      <c r="X58" s="19">
        <f>X25+X40+X44</f>
        <v>102.498</v>
      </c>
      <c r="Y58" s="13">
        <f>Y25+Y40+Y44</f>
        <v>63.491</v>
      </c>
      <c r="Z58" s="20">
        <f>X58+Y58</f>
        <v>165.989</v>
      </c>
      <c r="AA58" s="19">
        <f>AA25+AA40+AA44</f>
        <v>94.094999999999999</v>
      </c>
      <c r="AB58" s="13">
        <f>AB25+AB40+AB44</f>
        <v>54.277999999999999</v>
      </c>
      <c r="AC58" s="20">
        <f>AA58+AB58</f>
        <v>148.37299999999999</v>
      </c>
      <c r="AD58" s="13">
        <f>+AD55+AD44+AD40+AD25</f>
        <v>176.76292000000001</v>
      </c>
      <c r="AE58" s="13">
        <f>+AE55+AE44+AE40+AE25</f>
        <v>63.232392999999995</v>
      </c>
      <c r="AF58" s="20">
        <f>AD58+AE58</f>
        <v>239.99531300000001</v>
      </c>
      <c r="AG58" s="13">
        <f>+AG55+AG44+AG40+AG25</f>
        <v>202.35937300000001</v>
      </c>
      <c r="AH58" s="13">
        <f>+AH55+AH44+AH40+AH25</f>
        <v>73.848419000000007</v>
      </c>
      <c r="AI58" s="20">
        <f>AG58+AH58</f>
        <v>276.20779200000004</v>
      </c>
      <c r="AJ58" s="19">
        <f>+AJ55+AJ44+AJ40+AJ25</f>
        <v>215.45064189999999</v>
      </c>
      <c r="AK58" s="13">
        <f>+AK55+AK44+AK40+AK25</f>
        <v>63.500296900000002</v>
      </c>
      <c r="AL58" s="20">
        <f>AJ58+AK58</f>
        <v>278.95093880000002</v>
      </c>
      <c r="AM58" s="13">
        <v>195.12960369999999</v>
      </c>
      <c r="AN58" s="13">
        <v>63.134370100000005</v>
      </c>
      <c r="AO58" s="20">
        <v>258.26397379999997</v>
      </c>
      <c r="AP58" s="13">
        <v>188.14000000000004</v>
      </c>
      <c r="AQ58" s="13">
        <v>67.91</v>
      </c>
      <c r="AR58" s="13">
        <v>256.05000000000007</v>
      </c>
      <c r="AS58" s="19">
        <v>179.56299999999999</v>
      </c>
      <c r="AT58" s="13">
        <v>57.021598999999995</v>
      </c>
      <c r="AU58" s="13">
        <v>236.58459899999997</v>
      </c>
      <c r="AV58" s="19">
        <v>176.61399999999998</v>
      </c>
      <c r="AW58" s="13">
        <v>60.070999999999998</v>
      </c>
      <c r="AX58" s="13">
        <v>236.68499999999997</v>
      </c>
      <c r="AY58" s="19">
        <v>185.578484</v>
      </c>
      <c r="AZ58" s="13">
        <v>53.729637199999999</v>
      </c>
      <c r="BA58" s="13">
        <v>239.30812120000002</v>
      </c>
      <c r="BB58" s="19">
        <v>149.01400000000001</v>
      </c>
      <c r="BC58" s="13">
        <v>38.333000000000006</v>
      </c>
      <c r="BD58" s="13">
        <v>187.34700000000001</v>
      </c>
      <c r="BE58" s="19">
        <v>123.50699999999999</v>
      </c>
      <c r="BF58" s="13">
        <v>25.777999999999999</v>
      </c>
      <c r="BG58" s="13">
        <v>149.285</v>
      </c>
      <c r="BH58" s="34">
        <v>2339.9930226000006</v>
      </c>
      <c r="BI58" s="35">
        <v>943.09971519999988</v>
      </c>
      <c r="BJ58" s="82">
        <v>3283.0927378000006</v>
      </c>
      <c r="BN58"/>
      <c r="BO58"/>
      <c r="BP58"/>
      <c r="BQ58"/>
      <c r="BR58"/>
      <c r="BS58"/>
    </row>
    <row r="59" spans="3:71" ht="3.75" customHeight="1" thickBot="1" x14ac:dyDescent="0.25">
      <c r="C59" s="88"/>
      <c r="D59" s="89"/>
      <c r="E59" s="90"/>
      <c r="F59" s="88"/>
      <c r="G59" s="89"/>
      <c r="H59" s="90"/>
      <c r="I59" s="89"/>
      <c r="J59" s="89"/>
      <c r="K59" s="89"/>
      <c r="L59" s="88"/>
      <c r="M59" s="89"/>
      <c r="N59" s="90"/>
      <c r="O59" s="88"/>
      <c r="P59" s="89"/>
      <c r="Q59" s="90"/>
      <c r="R59" s="88"/>
      <c r="S59" s="89"/>
      <c r="T59" s="90"/>
      <c r="U59" s="88"/>
      <c r="V59" s="89"/>
      <c r="W59" s="90"/>
      <c r="X59" s="88"/>
      <c r="Y59" s="89"/>
      <c r="Z59" s="90"/>
      <c r="AA59" s="88"/>
      <c r="AB59" s="89"/>
      <c r="AC59" s="90"/>
      <c r="AD59" s="89"/>
      <c r="AE59" s="89"/>
      <c r="AF59" s="90"/>
      <c r="AG59" s="89"/>
      <c r="AH59" s="89"/>
      <c r="AI59" s="90"/>
      <c r="AJ59" s="88"/>
      <c r="AK59" s="89"/>
      <c r="AL59" s="90"/>
      <c r="AM59" s="89"/>
      <c r="AN59" s="89"/>
      <c r="AO59" s="90"/>
      <c r="AP59" s="89"/>
      <c r="AQ59" s="89"/>
      <c r="AR59" s="89"/>
      <c r="AS59" s="88"/>
      <c r="AT59" s="89"/>
      <c r="AU59" s="89"/>
      <c r="AV59" s="88"/>
      <c r="AW59" s="89"/>
      <c r="AX59" s="89"/>
      <c r="AY59" s="88"/>
      <c r="AZ59" s="89"/>
      <c r="BA59" s="89"/>
      <c r="BB59" s="88"/>
      <c r="BC59" s="89"/>
      <c r="BD59" s="89"/>
      <c r="BE59" s="88"/>
      <c r="BF59" s="89"/>
      <c r="BG59" s="89"/>
      <c r="BH59" s="91"/>
      <c r="BI59" s="92"/>
      <c r="BJ59" s="93"/>
    </row>
    <row r="60" spans="3:71" ht="3.7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</row>
    <row r="61" spans="3:71" ht="12.75" customHeight="1" x14ac:dyDescent="0.2">
      <c r="C61" t="s">
        <v>23</v>
      </c>
    </row>
    <row r="62" spans="3:71" x14ac:dyDescent="0.2">
      <c r="C62" t="s">
        <v>19</v>
      </c>
      <c r="BH62" s="49"/>
      <c r="BI62" s="49"/>
    </row>
    <row r="63" spans="3:71" ht="15" customHeight="1" x14ac:dyDescent="0.2">
      <c r="C63" s="33" t="s">
        <v>24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3:71" x14ac:dyDescent="0.2">
      <c r="C64" s="33" t="s">
        <v>32</v>
      </c>
    </row>
    <row r="70" spans="6:62" x14ac:dyDescent="0.2"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</row>
  </sheetData>
  <mergeCells count="55">
    <mergeCell ref="L47:N47"/>
    <mergeCell ref="O47:Q47"/>
    <mergeCell ref="C6:BJ6"/>
    <mergeCell ref="U47:W47"/>
    <mergeCell ref="X47:Z47"/>
    <mergeCell ref="AA47:AC47"/>
    <mergeCell ref="F47:H47"/>
    <mergeCell ref="U8:W8"/>
    <mergeCell ref="U12:W12"/>
    <mergeCell ref="BH8:BJ8"/>
    <mergeCell ref="L8:N8"/>
    <mergeCell ref="L12:N12"/>
    <mergeCell ref="L27:N27"/>
    <mergeCell ref="O12:Q12"/>
    <mergeCell ref="O27:Q27"/>
    <mergeCell ref="BH9:BJ9"/>
    <mergeCell ref="F42:H42"/>
    <mergeCell ref="F57:H57"/>
    <mergeCell ref="I57:K57"/>
    <mergeCell ref="L57:N57"/>
    <mergeCell ref="O57:Q57"/>
    <mergeCell ref="R42:T42"/>
    <mergeCell ref="R57:T57"/>
    <mergeCell ref="I42:K42"/>
    <mergeCell ref="L42:N42"/>
    <mergeCell ref="I47:K47"/>
    <mergeCell ref="BH57:BJ57"/>
    <mergeCell ref="BH42:BJ42"/>
    <mergeCell ref="BH27:BJ27"/>
    <mergeCell ref="R12:T12"/>
    <mergeCell ref="BH12:BJ12"/>
    <mergeCell ref="BH47:BJ47"/>
    <mergeCell ref="X57:Z57"/>
    <mergeCell ref="X12:Z12"/>
    <mergeCell ref="X27:Z27"/>
    <mergeCell ref="U27:W27"/>
    <mergeCell ref="D8:E10"/>
    <mergeCell ref="R8:T8"/>
    <mergeCell ref="R27:T27"/>
    <mergeCell ref="I12:K12"/>
    <mergeCell ref="I27:K27"/>
    <mergeCell ref="O8:Q8"/>
    <mergeCell ref="F8:H8"/>
    <mergeCell ref="F12:H12"/>
    <mergeCell ref="F27:H27"/>
    <mergeCell ref="I8:K8"/>
    <mergeCell ref="X42:Z42"/>
    <mergeCell ref="AA57:AC57"/>
    <mergeCell ref="AA12:AC12"/>
    <mergeCell ref="AA27:AC27"/>
    <mergeCell ref="AA42:AC42"/>
    <mergeCell ref="O42:Q42"/>
    <mergeCell ref="R47:T47"/>
    <mergeCell ref="U57:W57"/>
    <mergeCell ref="U42:W42"/>
  </mergeCells>
  <phoneticPr fontId="0" type="noConversion"/>
  <printOptions horizontalCentered="1" verticalCentered="1"/>
  <pageMargins left="0.54500000000000004" right="0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52</vt:lpstr>
      <vt:lpstr>'52'!Área_de_impresión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JCEscobar</dc:creator>
  <cp:lastModifiedBy>Valued Acer Customer</cp:lastModifiedBy>
  <cp:lastPrinted>2016-06-27T22:04:11Z</cp:lastPrinted>
  <dcterms:created xsi:type="dcterms:W3CDTF">2003-06-04T18:25:57Z</dcterms:created>
  <dcterms:modified xsi:type="dcterms:W3CDTF">2016-06-27T22:04:41Z</dcterms:modified>
</cp:coreProperties>
</file>