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entero!$C$1:$DR$107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84" i="1" l="1"/>
  <c r="DJ84" i="1"/>
  <c r="DI84" i="1"/>
  <c r="DH84" i="1"/>
  <c r="DG84" i="1"/>
  <c r="DK50" i="1"/>
  <c r="DJ50" i="1"/>
  <c r="DI50" i="1"/>
  <c r="DH50" i="1"/>
  <c r="DG50" i="1"/>
  <c r="DK47" i="1"/>
  <c r="DJ47" i="1"/>
  <c r="DJ46" i="1" s="1"/>
  <c r="DI47" i="1"/>
  <c r="DH47" i="1"/>
  <c r="DG47" i="1"/>
  <c r="DK46" i="1"/>
  <c r="DH46" i="1"/>
  <c r="DG46" i="1"/>
  <c r="DK28" i="1"/>
  <c r="DJ28" i="1"/>
  <c r="DI28" i="1"/>
  <c r="DH28" i="1"/>
  <c r="DG28" i="1"/>
  <c r="DK27" i="1"/>
  <c r="DJ27" i="1"/>
  <c r="DI27" i="1"/>
  <c r="DH27" i="1"/>
  <c r="DG27" i="1"/>
  <c r="DK26" i="1"/>
  <c r="DJ26" i="1"/>
  <c r="DI26" i="1"/>
  <c r="DH26" i="1"/>
  <c r="DG26" i="1"/>
  <c r="DK25" i="1"/>
  <c r="DJ25" i="1"/>
  <c r="DI25" i="1"/>
  <c r="DH25" i="1"/>
  <c r="DG25" i="1"/>
  <c r="DK24" i="1"/>
  <c r="DJ24" i="1"/>
  <c r="DI24" i="1"/>
  <c r="DH24" i="1"/>
  <c r="DG24" i="1"/>
  <c r="DK17" i="1"/>
  <c r="DJ17" i="1"/>
  <c r="DI17" i="1"/>
  <c r="DH17" i="1"/>
  <c r="DG17" i="1"/>
  <c r="DH4" i="1"/>
  <c r="DI4" i="1" s="1"/>
  <c r="DJ4" i="1" s="1"/>
  <c r="DK4" i="1" s="1"/>
  <c r="DI46" i="1" l="1"/>
  <c r="DF84" i="1"/>
  <c r="DE84" i="1"/>
  <c r="DD84" i="1"/>
  <c r="DC84" i="1"/>
  <c r="DB84" i="1"/>
  <c r="DF50" i="1"/>
  <c r="DF46" i="1" s="1"/>
  <c r="DE50" i="1"/>
  <c r="DD50" i="1"/>
  <c r="DC50" i="1"/>
  <c r="DB50" i="1"/>
  <c r="DB46" i="1" s="1"/>
  <c r="DF47" i="1"/>
  <c r="DE47" i="1"/>
  <c r="DE46" i="1" s="1"/>
  <c r="DD47" i="1"/>
  <c r="DC47" i="1"/>
  <c r="DC46" i="1" s="1"/>
  <c r="DB47" i="1"/>
  <c r="DF28" i="1"/>
  <c r="DE28" i="1"/>
  <c r="DD28" i="1"/>
  <c r="DC28" i="1"/>
  <c r="DB28" i="1"/>
  <c r="DF27" i="1"/>
  <c r="DE27" i="1"/>
  <c r="DD27" i="1"/>
  <c r="DC27" i="1"/>
  <c r="DB27" i="1"/>
  <c r="DF26" i="1"/>
  <c r="DE26" i="1"/>
  <c r="DD26" i="1"/>
  <c r="DC26" i="1"/>
  <c r="DB26" i="1"/>
  <c r="DF25" i="1"/>
  <c r="DE25" i="1"/>
  <c r="DD25" i="1"/>
  <c r="DC25" i="1"/>
  <c r="DB25" i="1"/>
  <c r="DF24" i="1"/>
  <c r="DE24" i="1"/>
  <c r="DD24" i="1"/>
  <c r="DC24" i="1"/>
  <c r="DB24" i="1"/>
  <c r="DF17" i="1"/>
  <c r="DE17" i="1"/>
  <c r="DD17" i="1"/>
  <c r="DC17" i="1"/>
  <c r="DB17" i="1"/>
  <c r="DC4" i="1"/>
  <c r="DD4" i="1" s="1"/>
  <c r="DE4" i="1" s="1"/>
  <c r="DF4" i="1" s="1"/>
  <c r="DD46" i="1" l="1"/>
  <c r="DA84" i="1"/>
  <c r="CZ84" i="1"/>
  <c r="CY84" i="1"/>
  <c r="CX84" i="1"/>
  <c r="DA50" i="1"/>
  <c r="CZ50" i="1"/>
  <c r="CY50" i="1"/>
  <c r="CX50" i="1"/>
  <c r="DA47" i="1"/>
  <c r="CZ47" i="1"/>
  <c r="CZ46" i="1" s="1"/>
  <c r="CY47" i="1"/>
  <c r="CX47" i="1"/>
  <c r="DA46" i="1"/>
  <c r="DA28" i="1"/>
  <c r="CZ28" i="1"/>
  <c r="CY28" i="1"/>
  <c r="CX28" i="1"/>
  <c r="DA27" i="1"/>
  <c r="CZ27" i="1"/>
  <c r="CY27" i="1"/>
  <c r="CX27" i="1"/>
  <c r="DA26" i="1"/>
  <c r="CZ26" i="1"/>
  <c r="CY26" i="1"/>
  <c r="CX26" i="1"/>
  <c r="DA25" i="1"/>
  <c r="CZ25" i="1"/>
  <c r="CY25" i="1"/>
  <c r="CX25" i="1"/>
  <c r="DA24" i="1"/>
  <c r="CZ24" i="1"/>
  <c r="CY24" i="1"/>
  <c r="CX24" i="1"/>
  <c r="DA17" i="1"/>
  <c r="CZ17" i="1"/>
  <c r="CY17" i="1"/>
  <c r="CX17" i="1"/>
  <c r="CY4" i="1"/>
  <c r="CZ4" i="1" s="1"/>
  <c r="DA4" i="1" s="1"/>
  <c r="CX46" i="1" l="1"/>
  <c r="CY46" i="1"/>
  <c r="DP28" i="1" l="1"/>
  <c r="DP27" i="1"/>
  <c r="DP26" i="1"/>
  <c r="DP25" i="1"/>
  <c r="DP24" i="1"/>
  <c r="DO28" i="1"/>
  <c r="DO27" i="1"/>
  <c r="DO26" i="1"/>
  <c r="DO25" i="1"/>
  <c r="DO24" i="1"/>
  <c r="DN28" i="1"/>
  <c r="DN27" i="1"/>
  <c r="DN26" i="1"/>
  <c r="DN25" i="1"/>
  <c r="DN24" i="1"/>
  <c r="DM28" i="1"/>
  <c r="DM27" i="1"/>
  <c r="DM26" i="1"/>
  <c r="DM25" i="1"/>
  <c r="DM24" i="1"/>
  <c r="DM17" i="1" l="1"/>
  <c r="DR91" i="1" l="1"/>
  <c r="DR88" i="1"/>
  <c r="DR86" i="1"/>
  <c r="DR85" i="1"/>
  <c r="DR82" i="1"/>
  <c r="DR81" i="1"/>
  <c r="DR80" i="1"/>
  <c r="DR79" i="1"/>
  <c r="DR78" i="1"/>
  <c r="DR77" i="1"/>
  <c r="DR76" i="1"/>
  <c r="DR75" i="1"/>
  <c r="DR74" i="1"/>
  <c r="DR73" i="1"/>
  <c r="DR72" i="1"/>
  <c r="DR71" i="1"/>
  <c r="DR69" i="1"/>
  <c r="DR68" i="1"/>
  <c r="DR66" i="1"/>
  <c r="DR65" i="1"/>
  <c r="DR63" i="1"/>
  <c r="DR62" i="1"/>
  <c r="DR60" i="1"/>
  <c r="DR59" i="1"/>
  <c r="DR57" i="1"/>
  <c r="DR56" i="1"/>
  <c r="DR55" i="1"/>
  <c r="DR54" i="1"/>
  <c r="DR52" i="1"/>
  <c r="DR51" i="1"/>
  <c r="DR49" i="1"/>
  <c r="DR44" i="1"/>
  <c r="DR43" i="1"/>
  <c r="DR42" i="1"/>
  <c r="DR40" i="1"/>
  <c r="DR39" i="1"/>
  <c r="DR38" i="1"/>
  <c r="DR36" i="1"/>
  <c r="DR35" i="1"/>
  <c r="DR34" i="1"/>
  <c r="DR32" i="1"/>
  <c r="DR31" i="1"/>
  <c r="DR30" i="1"/>
  <c r="DR16" i="1"/>
  <c r="DR15" i="1"/>
  <c r="DR14" i="1"/>
  <c r="DR13" i="1"/>
  <c r="DR12" i="1"/>
  <c r="DR11" i="1"/>
  <c r="DR10" i="1"/>
  <c r="DR9" i="1"/>
  <c r="DR8" i="1"/>
  <c r="DR7" i="1"/>
  <c r="DQ91" i="1"/>
  <c r="DQ89" i="1"/>
  <c r="DQ88" i="1"/>
  <c r="DQ87" i="1"/>
  <c r="DQ86" i="1"/>
  <c r="DQ85" i="1"/>
  <c r="DQ82" i="1"/>
  <c r="DQ81" i="1"/>
  <c r="DQ80" i="1"/>
  <c r="DQ79" i="1"/>
  <c r="DQ78" i="1"/>
  <c r="DQ77" i="1"/>
  <c r="DQ76" i="1"/>
  <c r="DQ75" i="1"/>
  <c r="DQ74" i="1"/>
  <c r="DQ73" i="1"/>
  <c r="DQ72" i="1"/>
  <c r="DQ71" i="1"/>
  <c r="DQ69" i="1"/>
  <c r="DQ68" i="1"/>
  <c r="DQ67" i="1"/>
  <c r="DQ66" i="1"/>
  <c r="DQ65" i="1"/>
  <c r="DQ63" i="1"/>
  <c r="DQ62" i="1"/>
  <c r="DQ61" i="1"/>
  <c r="DQ60" i="1"/>
  <c r="DQ59" i="1"/>
  <c r="DQ58" i="1"/>
  <c r="DQ57" i="1"/>
  <c r="DQ56" i="1"/>
  <c r="DQ55" i="1"/>
  <c r="DQ54" i="1"/>
  <c r="DQ52" i="1"/>
  <c r="DQ51" i="1"/>
  <c r="DQ49" i="1"/>
  <c r="DQ48" i="1"/>
  <c r="DQ44" i="1"/>
  <c r="DQ43" i="1"/>
  <c r="DQ42" i="1"/>
  <c r="DQ41" i="1"/>
  <c r="DQ40" i="1"/>
  <c r="DQ39" i="1"/>
  <c r="DQ38" i="1"/>
  <c r="DQ36" i="1"/>
  <c r="DQ35" i="1"/>
  <c r="DQ34" i="1"/>
  <c r="DQ32" i="1"/>
  <c r="DQ31" i="1"/>
  <c r="DQ30" i="1"/>
  <c r="DQ16" i="1"/>
  <c r="DQ15" i="1"/>
  <c r="DQ14" i="1"/>
  <c r="DQ13" i="1"/>
  <c r="DQ12" i="1"/>
  <c r="DQ11" i="1"/>
  <c r="DQ10" i="1"/>
  <c r="DQ9" i="1"/>
  <c r="DQ8" i="1"/>
  <c r="DQ7" i="1"/>
  <c r="DR25" i="1" l="1"/>
  <c r="DR24" i="1" l="1"/>
  <c r="DQ24" i="1"/>
  <c r="DR28" i="1"/>
  <c r="DQ28" i="1"/>
  <c r="DQ26" i="1"/>
  <c r="DR26" i="1"/>
  <c r="DQ25" i="1"/>
  <c r="DR27" i="1"/>
  <c r="DQ27" i="1"/>
  <c r="CX20" i="4"/>
  <c r="CX19" i="4"/>
  <c r="CX3" i="4" l="1"/>
  <c r="CX10" i="10"/>
  <c r="CX4" i="10"/>
  <c r="CX3" i="10"/>
  <c r="CX11" i="5"/>
  <c r="CX10" i="5"/>
  <c r="CX9" i="5"/>
  <c r="CX8" i="5"/>
  <c r="CX7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6" i="7"/>
  <c r="CX15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 l="1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6" i="5" l="1"/>
  <c r="CX17" i="7"/>
  <c r="CX10" i="8"/>
  <c r="CX9" i="8"/>
  <c r="CX8" i="8"/>
  <c r="CX7" i="8"/>
  <c r="CX6" i="8"/>
  <c r="CX17" i="9"/>
  <c r="CX13" i="7" l="1"/>
  <c r="CX14" i="7"/>
  <c r="DB20" i="4"/>
  <c r="DB19" i="4"/>
  <c r="DB10" i="10"/>
  <c r="DB9" i="10"/>
  <c r="DB8" i="10"/>
  <c r="DB7" i="10"/>
  <c r="DB6" i="10"/>
  <c r="DB10" i="5"/>
  <c r="DB8" i="5"/>
  <c r="DB7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19" i="7"/>
  <c r="DB18" i="7"/>
  <c r="DB16" i="7"/>
  <c r="DB15" i="7"/>
  <c r="DB12" i="7"/>
  <c r="DB11" i="7"/>
  <c r="DB10" i="7"/>
  <c r="DB9" i="7"/>
  <c r="DB8" i="7"/>
  <c r="DB7" i="7"/>
  <c r="DB6" i="7"/>
  <c r="DB18" i="8"/>
  <c r="DB17" i="8"/>
  <c r="DB16" i="8"/>
  <c r="DB14" i="8"/>
  <c r="DB13" i="8"/>
  <c r="DB12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10" i="8" l="1"/>
  <c r="DB9" i="8"/>
  <c r="DB8" i="8"/>
  <c r="DB7" i="8"/>
  <c r="DB6" i="8"/>
  <c r="DO84" i="1" l="1"/>
  <c r="DB6" i="5" s="1"/>
  <c r="DO50" i="1"/>
  <c r="DB17" i="7" s="1"/>
  <c r="DO47" i="1"/>
  <c r="DB14" i="7" s="1"/>
  <c r="DO17" i="1"/>
  <c r="DB17" i="9" s="1"/>
  <c r="DO46" i="1" l="1"/>
  <c r="DB13" i="7" s="1"/>
  <c r="CW28" i="1"/>
  <c r="CW27" i="1"/>
  <c r="CW26" i="1"/>
  <c r="CW25" i="1"/>
  <c r="CW24" i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84" i="1"/>
  <c r="CW6" i="5" s="1"/>
  <c r="CW50" i="1"/>
  <c r="CW47" i="1"/>
  <c r="CW14" i="7" s="1"/>
  <c r="CW10" i="8"/>
  <c r="CW9" i="8"/>
  <c r="CW8" i="8"/>
  <c r="CW7" i="8"/>
  <c r="CW6" i="8"/>
  <c r="CW17" i="1"/>
  <c r="CW46" i="1" l="1"/>
  <c r="CW13" i="7" s="1"/>
  <c r="CW17" i="7"/>
  <c r="CW17" i="9"/>
  <c r="CY3" i="4" l="1"/>
  <c r="CY3" i="10"/>
  <c r="CY3" i="5"/>
  <c r="CY3" i="6"/>
  <c r="CY3" i="7"/>
  <c r="CY3" i="8"/>
  <c r="CY4" i="9"/>
  <c r="DP17" i="1"/>
  <c r="DP47" i="1"/>
  <c r="DP50" i="1"/>
  <c r="DP84" i="1"/>
  <c r="DQ84" i="1" l="1"/>
  <c r="DR84" i="1"/>
  <c r="DR50" i="1"/>
  <c r="DQ50" i="1"/>
  <c r="DR47" i="1"/>
  <c r="DQ47" i="1"/>
  <c r="DR17" i="1"/>
  <c r="DQ17" i="1"/>
  <c r="DP46" i="1"/>
  <c r="DR46" i="1" l="1"/>
  <c r="DQ46" i="1"/>
  <c r="CV20" i="4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84" i="1"/>
  <c r="CV6" i="5" s="1"/>
  <c r="CV50" i="1"/>
  <c r="CV17" i="7" s="1"/>
  <c r="CV47" i="1"/>
  <c r="CV14" i="7" s="1"/>
  <c r="CV28" i="1"/>
  <c r="CV10" i="8" s="1"/>
  <c r="CV27" i="1"/>
  <c r="CV9" i="8" s="1"/>
  <c r="CV26" i="1"/>
  <c r="CV8" i="8" s="1"/>
  <c r="CV25" i="1"/>
  <c r="CV7" i="8" s="1"/>
  <c r="CV24" i="1"/>
  <c r="CV6" i="8" s="1"/>
  <c r="CV17" i="1"/>
  <c r="CV17" i="9" s="1"/>
  <c r="CV46" i="1" l="1"/>
  <c r="CV13" i="7" s="1"/>
  <c r="CU17" i="4" l="1"/>
  <c r="CU16" i="4"/>
  <c r="CU15" i="4"/>
  <c r="CU14" i="4"/>
  <c r="CT17" i="1" l="1"/>
  <c r="DC20" i="4" l="1"/>
  <c r="DC19" i="4"/>
  <c r="DA20" i="4"/>
  <c r="DA19" i="4"/>
  <c r="CZ20" i="4"/>
  <c r="CZ19" i="4"/>
  <c r="CY20" i="4"/>
  <c r="CY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E10" i="10"/>
  <c r="DD10" i="10"/>
  <c r="DC10" i="10"/>
  <c r="DA10" i="10"/>
  <c r="CZ10" i="10"/>
  <c r="CY10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A10" i="5"/>
  <c r="DA8" i="5"/>
  <c r="DA7" i="5"/>
  <c r="CZ10" i="5"/>
  <c r="CZ8" i="5"/>
  <c r="CZ7" i="5"/>
  <c r="CY10" i="5"/>
  <c r="CY8" i="5"/>
  <c r="CY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N84" i="1"/>
  <c r="DA6" i="5" s="1"/>
  <c r="DM84" i="1"/>
  <c r="CZ6" i="5" s="1"/>
  <c r="DN50" i="1"/>
  <c r="DA17" i="7" s="1"/>
  <c r="DM50" i="1"/>
  <c r="CZ17" i="7" s="1"/>
  <c r="DN47" i="1"/>
  <c r="DM47" i="1"/>
  <c r="DN17" i="1"/>
  <c r="DA17" i="9" s="1"/>
  <c r="CZ17" i="9"/>
  <c r="CU84" i="1"/>
  <c r="CU6" i="5" s="1"/>
  <c r="CU50" i="1"/>
  <c r="CU17" i="7" s="1"/>
  <c r="CU47" i="1"/>
  <c r="CU14" i="7" s="1"/>
  <c r="CU28" i="1"/>
  <c r="CU10" i="8" s="1"/>
  <c r="CU27" i="1"/>
  <c r="CU9" i="8" s="1"/>
  <c r="CU26" i="1"/>
  <c r="CU8" i="8" s="1"/>
  <c r="CU25" i="1"/>
  <c r="CU7" i="8" s="1"/>
  <c r="CU24" i="1"/>
  <c r="CU6" i="8" s="1"/>
  <c r="CU17" i="1"/>
  <c r="CU17" i="9" s="1"/>
  <c r="DM46" i="1" l="1"/>
  <c r="CZ13" i="7" s="1"/>
  <c r="CZ14" i="7"/>
  <c r="DN46" i="1"/>
  <c r="DA13" i="7" s="1"/>
  <c r="DA14" i="7"/>
  <c r="CY4" i="8"/>
  <c r="CY4" i="4"/>
  <c r="CY4" i="10"/>
  <c r="CY4" i="5"/>
  <c r="CY4" i="6"/>
  <c r="CY4" i="7"/>
  <c r="DD7" i="8"/>
  <c r="DD6" i="8"/>
  <c r="DD10" i="8"/>
  <c r="DE6" i="8"/>
  <c r="DE10" i="8"/>
  <c r="DD8" i="8"/>
  <c r="DE8" i="8"/>
  <c r="DM4" i="1"/>
  <c r="DD9" i="8"/>
  <c r="DE9" i="8"/>
  <c r="CU46" i="1"/>
  <c r="CU13" i="7" s="1"/>
  <c r="CZ4" i="7" l="1"/>
  <c r="CZ4" i="4"/>
  <c r="CZ4" i="10"/>
  <c r="CZ4" i="5"/>
  <c r="CZ4" i="6"/>
  <c r="CZ5" i="9"/>
  <c r="CZ4" i="8"/>
  <c r="DN4" i="1"/>
  <c r="DO4" i="1" l="1"/>
  <c r="DA4" i="6"/>
  <c r="DA4" i="5"/>
  <c r="DA4" i="7"/>
  <c r="DA4" i="10"/>
  <c r="DA4" i="4"/>
  <c r="DA5" i="9"/>
  <c r="DA4" i="8"/>
  <c r="DP4" i="1" l="1"/>
  <c r="DB4" i="10"/>
  <c r="DB4" i="8"/>
  <c r="DB4" i="5"/>
  <c r="DB4" i="7"/>
  <c r="DB5" i="9"/>
  <c r="DB4" i="4"/>
  <c r="DB4" i="6"/>
  <c r="DC4" i="7"/>
  <c r="DC4" i="4"/>
  <c r="DC5" i="9"/>
  <c r="DC4" i="8"/>
  <c r="CY17" i="9" l="1"/>
  <c r="DD17" i="9" l="1"/>
  <c r="DE17" i="9"/>
  <c r="DC17" i="9"/>
  <c r="CT3" i="10"/>
  <c r="CT4" i="10"/>
  <c r="CT28" i="1" l="1"/>
  <c r="CT10" i="8" s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84" i="1"/>
  <c r="CS6" i="5" s="1"/>
  <c r="CS50" i="1"/>
  <c r="CS17" i="7" s="1"/>
  <c r="CS47" i="1"/>
  <c r="CS28" i="1"/>
  <c r="CS10" i="8" s="1"/>
  <c r="CS27" i="1"/>
  <c r="CS9" i="8" s="1"/>
  <c r="CS26" i="1"/>
  <c r="CS8" i="8" s="1"/>
  <c r="CS25" i="1"/>
  <c r="CS7" i="8" s="1"/>
  <c r="CS24" i="1"/>
  <c r="CS6" i="8" s="1"/>
  <c r="CS17" i="1"/>
  <c r="CS17" i="9" s="1"/>
  <c r="CS46" i="1" l="1"/>
  <c r="CS13" i="7" s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84" i="1"/>
  <c r="CR6" i="5" s="1"/>
  <c r="CR50" i="1"/>
  <c r="CR17" i="7" s="1"/>
  <c r="CR47" i="1"/>
  <c r="CR14" i="7" s="1"/>
  <c r="CR28" i="1"/>
  <c r="CR10" i="8" s="1"/>
  <c r="CR27" i="1"/>
  <c r="CR9" i="8" s="1"/>
  <c r="CR26" i="1"/>
  <c r="CR8" i="8" s="1"/>
  <c r="CR25" i="1"/>
  <c r="CR7" i="8" s="1"/>
  <c r="CR24" i="1"/>
  <c r="CR6" i="8" s="1"/>
  <c r="CR17" i="1"/>
  <c r="CR17" i="9" s="1"/>
  <c r="CR46" i="1" l="1"/>
  <c r="CR13" i="7" s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84" i="1" l="1"/>
  <c r="CQ6" i="5" s="1"/>
  <c r="CQ50" i="1"/>
  <c r="CQ17" i="7" s="1"/>
  <c r="CQ47" i="1"/>
  <c r="CQ14" i="7" s="1"/>
  <c r="CQ28" i="1"/>
  <c r="CQ10" i="8" s="1"/>
  <c r="CQ27" i="1"/>
  <c r="CQ9" i="8" s="1"/>
  <c r="CQ26" i="1"/>
  <c r="CQ8" i="8" s="1"/>
  <c r="CQ25" i="1"/>
  <c r="CQ7" i="8" s="1"/>
  <c r="CQ24" i="1"/>
  <c r="CQ6" i="8" s="1"/>
  <c r="CQ17" i="1"/>
  <c r="CQ17" i="9" s="1"/>
  <c r="CQ46" i="1" l="1"/>
  <c r="CQ13" i="7" s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84" i="1"/>
  <c r="CP6" i="5" s="1"/>
  <c r="CP50" i="1"/>
  <c r="CP17" i="7" s="1"/>
  <c r="CP47" i="1"/>
  <c r="CP14" i="7" s="1"/>
  <c r="CP28" i="1"/>
  <c r="CP10" i="8" s="1"/>
  <c r="CP27" i="1"/>
  <c r="CP9" i="8" s="1"/>
  <c r="CP26" i="1"/>
  <c r="CP8" i="8" s="1"/>
  <c r="CP25" i="1"/>
  <c r="CP7" i="8" s="1"/>
  <c r="CP24" i="1"/>
  <c r="CP6" i="8" s="1"/>
  <c r="CP17" i="1"/>
  <c r="CP17" i="9" s="1"/>
  <c r="CP46" i="1" l="1"/>
  <c r="CP13" i="7" s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1" l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DA9" i="10" l="1"/>
  <c r="DA8" i="10"/>
  <c r="DA7" i="10"/>
  <c r="DA6" i="10"/>
  <c r="CY6" i="5"/>
  <c r="CY17" i="7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8" i="1" l="1"/>
  <c r="CM27" i="1"/>
  <c r="CM26" i="1"/>
  <c r="CM25" i="1"/>
  <c r="CM24" i="1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84" i="1"/>
  <c r="CM6" i="5" s="1"/>
  <c r="CM50" i="1"/>
  <c r="CM17" i="7" s="1"/>
  <c r="CM47" i="1"/>
  <c r="CM9" i="8"/>
  <c r="CM8" i="8"/>
  <c r="CM7" i="8"/>
  <c r="CM46" i="1" l="1"/>
  <c r="CM14" i="7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L50" i="1"/>
  <c r="CL17" i="7" s="1"/>
  <c r="CK50" i="1"/>
  <c r="CK17" i="7" s="1"/>
  <c r="CJ50" i="1"/>
  <c r="CJ17" i="7" s="1"/>
  <c r="CI50" i="1"/>
  <c r="CH50" i="1"/>
  <c r="CH17" i="7" s="1"/>
  <c r="CG50" i="1"/>
  <c r="CG17" i="7" s="1"/>
  <c r="CF50" i="1"/>
  <c r="CF17" i="7" s="1"/>
  <c r="CE50" i="1"/>
  <c r="CD50" i="1"/>
  <c r="CD17" i="7" s="1"/>
  <c r="CC50" i="1"/>
  <c r="CC17" i="7" s="1"/>
  <c r="CB50" i="1"/>
  <c r="CB17" i="7" s="1"/>
  <c r="CA50" i="1"/>
  <c r="BZ50" i="1"/>
  <c r="BZ17" i="7" s="1"/>
  <c r="BY50" i="1"/>
  <c r="BY17" i="7" s="1"/>
  <c r="BX50" i="1"/>
  <c r="BX17" i="7" s="1"/>
  <c r="BW50" i="1"/>
  <c r="BV50" i="1"/>
  <c r="BV17" i="7" s="1"/>
  <c r="BU50" i="1"/>
  <c r="BU17" i="7" s="1"/>
  <c r="BT50" i="1"/>
  <c r="BT17" i="7" s="1"/>
  <c r="BS50" i="1"/>
  <c r="BR50" i="1"/>
  <c r="BR17" i="7" s="1"/>
  <c r="BQ50" i="1"/>
  <c r="BQ17" i="7" s="1"/>
  <c r="BP50" i="1"/>
  <c r="BP17" i="7" s="1"/>
  <c r="BO50" i="1"/>
  <c r="BN50" i="1"/>
  <c r="BN17" i="7" s="1"/>
  <c r="BM50" i="1"/>
  <c r="BM17" i="7" s="1"/>
  <c r="BL50" i="1"/>
  <c r="BL17" i="7" s="1"/>
  <c r="BK50" i="1"/>
  <c r="BJ50" i="1"/>
  <c r="BJ17" i="7" s="1"/>
  <c r="BI50" i="1"/>
  <c r="BI17" i="7" s="1"/>
  <c r="BH50" i="1"/>
  <c r="BH17" i="7" s="1"/>
  <c r="BG50" i="1"/>
  <c r="BF50" i="1"/>
  <c r="BF17" i="7" s="1"/>
  <c r="BE50" i="1"/>
  <c r="BE17" i="7" s="1"/>
  <c r="BD50" i="1"/>
  <c r="BD17" i="7" s="1"/>
  <c r="BC50" i="1"/>
  <c r="BB50" i="1"/>
  <c r="BB17" i="7" s="1"/>
  <c r="BA50" i="1"/>
  <c r="BA17" i="7" s="1"/>
  <c r="AZ50" i="1"/>
  <c r="AZ17" i="7" s="1"/>
  <c r="AY50" i="1"/>
  <c r="AY17" i="7" s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46" i="1" s="1"/>
  <c r="AX13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L14" i="7" s="1"/>
  <c r="AK47" i="1"/>
  <c r="AK14" i="7" s="1"/>
  <c r="AJ47" i="1"/>
  <c r="AJ14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AA14" i="7" s="1"/>
  <c r="Z47" i="1"/>
  <c r="Z14" i="7" s="1"/>
  <c r="Y47" i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14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AQ46" i="1"/>
  <c r="AQ13" i="7" s="1"/>
  <c r="N42" i="1"/>
  <c r="N10" i="7" s="1"/>
  <c r="N39" i="1"/>
  <c r="CK36" i="1"/>
  <c r="CK18" i="8" s="1"/>
  <c r="CK35" i="1"/>
  <c r="CK17" i="8" s="1"/>
  <c r="CK34" i="1"/>
  <c r="CK16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14" i="7" l="1"/>
  <c r="DE14" i="7"/>
  <c r="DC14" i="7"/>
  <c r="CK46" i="1"/>
  <c r="CK13" i="7" s="1"/>
  <c r="AK46" i="1"/>
  <c r="AK13" i="7" s="1"/>
  <c r="BU46" i="1"/>
  <c r="BU13" i="7" s="1"/>
  <c r="AV46" i="1"/>
  <c r="AV13" i="7" s="1"/>
  <c r="BE46" i="1"/>
  <c r="BE13" i="7" s="1"/>
  <c r="BN46" i="1"/>
  <c r="BN13" i="7" s="1"/>
  <c r="CD46" i="1"/>
  <c r="CD13" i="7" s="1"/>
  <c r="AU46" i="1"/>
  <c r="AU13" i="7" s="1"/>
  <c r="AA46" i="1"/>
  <c r="AA13" i="7" s="1"/>
  <c r="AB46" i="1"/>
  <c r="AB13" i="7" s="1"/>
  <c r="N38" i="1"/>
  <c r="N6" i="7" s="1"/>
  <c r="BZ46" i="1"/>
  <c r="BZ13" i="7" s="1"/>
  <c r="G46" i="1"/>
  <c r="G13" i="7" s="1"/>
  <c r="BF46" i="1"/>
  <c r="BF13" i="7" s="1"/>
  <c r="O46" i="1"/>
  <c r="O13" i="7" s="1"/>
  <c r="AL46" i="1"/>
  <c r="AL13" i="7" s="1"/>
  <c r="BJ46" i="1"/>
  <c r="BJ13" i="7" s="1"/>
  <c r="R46" i="1"/>
  <c r="R13" i="7" s="1"/>
  <c r="AH46" i="1"/>
  <c r="AH13" i="7" s="1"/>
  <c r="AO46" i="1"/>
  <c r="AO13" i="7" s="1"/>
  <c r="AY46" i="1"/>
  <c r="AY13" i="7" s="1"/>
  <c r="CL46" i="1"/>
  <c r="CL13" i="7" s="1"/>
  <c r="N7" i="7"/>
  <c r="V46" i="1"/>
  <c r="V13" i="7" s="1"/>
  <c r="AI46" i="1"/>
  <c r="AI13" i="7" s="1"/>
  <c r="BV46" i="1"/>
  <c r="BV13" i="7" s="1"/>
  <c r="K46" i="1"/>
  <c r="K13" i="7" s="1"/>
  <c r="S46" i="1"/>
  <c r="S13" i="7" s="1"/>
  <c r="X46" i="1"/>
  <c r="X13" i="7" s="1"/>
  <c r="AG46" i="1"/>
  <c r="AG13" i="7" s="1"/>
  <c r="AR46" i="1"/>
  <c r="AR13" i="7" s="1"/>
  <c r="AZ46" i="1"/>
  <c r="AZ13" i="7" s="1"/>
  <c r="BP46" i="1"/>
  <c r="BP13" i="7" s="1"/>
  <c r="CF46" i="1"/>
  <c r="CF13" i="7" s="1"/>
  <c r="L46" i="1"/>
  <c r="L13" i="7" s="1"/>
  <c r="T46" i="1"/>
  <c r="T13" i="7" s="1"/>
  <c r="H46" i="1"/>
  <c r="H13" i="7" s="1"/>
  <c r="W46" i="1"/>
  <c r="W13" i="7" s="1"/>
  <c r="AF46" i="1"/>
  <c r="AF13" i="7" s="1"/>
  <c r="AJ46" i="1"/>
  <c r="AJ13" i="7" s="1"/>
  <c r="Y46" i="1"/>
  <c r="Y13" i="7" s="1"/>
  <c r="AX14" i="7"/>
  <c r="CD14" i="7"/>
  <c r="BN14" i="7"/>
  <c r="E46" i="1"/>
  <c r="E13" i="7" s="1"/>
  <c r="I46" i="1"/>
  <c r="I13" i="7" s="1"/>
  <c r="M46" i="1"/>
  <c r="M13" i="7" s="1"/>
  <c r="AS46" i="1"/>
  <c r="AS13" i="7" s="1"/>
  <c r="BL46" i="1"/>
  <c r="BL13" i="7" s="1"/>
  <c r="BQ46" i="1"/>
  <c r="BQ13" i="7" s="1"/>
  <c r="CB46" i="1"/>
  <c r="CB13" i="7" s="1"/>
  <c r="CG46" i="1"/>
  <c r="CG13" i="7" s="1"/>
  <c r="AW46" i="1"/>
  <c r="AW13" i="7" s="1"/>
  <c r="BA46" i="1"/>
  <c r="BA13" i="7" s="1"/>
  <c r="F46" i="1"/>
  <c r="F13" i="7" s="1"/>
  <c r="J46" i="1"/>
  <c r="J13" i="7" s="1"/>
  <c r="N46" i="1"/>
  <c r="N13" i="7" s="1"/>
  <c r="AC46" i="1"/>
  <c r="AC13" i="7" s="1"/>
  <c r="AT46" i="1"/>
  <c r="AT13" i="7" s="1"/>
  <c r="BB46" i="1"/>
  <c r="BB13" i="7" s="1"/>
  <c r="BH46" i="1"/>
  <c r="BH13" i="7" s="1"/>
  <c r="BM46" i="1"/>
  <c r="BM13" i="7" s="1"/>
  <c r="BR46" i="1"/>
  <c r="BR13" i="7" s="1"/>
  <c r="BX46" i="1"/>
  <c r="BX13" i="7" s="1"/>
  <c r="CC46" i="1"/>
  <c r="CC13" i="7" s="1"/>
  <c r="CH46" i="1"/>
  <c r="CH13" i="7" s="1"/>
  <c r="Y14" i="7"/>
  <c r="U46" i="1"/>
  <c r="U13" i="7" s="1"/>
  <c r="BD46" i="1"/>
  <c r="BD13" i="7" s="1"/>
  <c r="BI46" i="1"/>
  <c r="BI13" i="7" s="1"/>
  <c r="BT46" i="1"/>
  <c r="BT13" i="7" s="1"/>
  <c r="BY46" i="1"/>
  <c r="BY13" i="7" s="1"/>
  <c r="CJ46" i="1"/>
  <c r="CJ13" i="7" s="1"/>
  <c r="BC17" i="7"/>
  <c r="BC46" i="1"/>
  <c r="BC13" i="7" s="1"/>
  <c r="BG17" i="7"/>
  <c r="BG46" i="1"/>
  <c r="BG13" i="7" s="1"/>
  <c r="BK17" i="7"/>
  <c r="BK46" i="1"/>
  <c r="BK13" i="7" s="1"/>
  <c r="BO17" i="7"/>
  <c r="BO46" i="1"/>
  <c r="BO13" i="7" s="1"/>
  <c r="BS17" i="7"/>
  <c r="BS46" i="1"/>
  <c r="BS13" i="7" s="1"/>
  <c r="BW17" i="7"/>
  <c r="BW46" i="1"/>
  <c r="BW13" i="7" s="1"/>
  <c r="CA17" i="7"/>
  <c r="CA46" i="1"/>
  <c r="CA13" i="7" s="1"/>
  <c r="CE17" i="7"/>
  <c r="CE46" i="1"/>
  <c r="CE13" i="7" s="1"/>
  <c r="CI17" i="7"/>
  <c r="CI46" i="1"/>
  <c r="CI13" i="7" s="1"/>
  <c r="DE13" i="7" l="1"/>
  <c r="DD13" i="7"/>
  <c r="DC13" i="7"/>
  <c r="DC4" i="6"/>
  <c r="DC4" i="5"/>
  <c r="DC4" i="10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<sst xmlns="http://schemas.openxmlformats.org/spreadsheetml/2006/main" count="432" uniqueCount="243">
  <si>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</si>
  <si>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</si>
  <si>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</si>
  <si>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</si>
  <si>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</si>
  <si>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</si>
  <si>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</si>
  <si>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</si>
  <si>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</si>
  <si>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</si>
  <si>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</si>
  <si>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</si>
  <si>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</si>
  <si>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</si>
  <si>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</si>
  <si>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</si>
  <si>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</si>
  <si>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</si>
  <si>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</si>
  <si>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</si>
  <si>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</si>
  <si>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</si>
  <si>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</si>
  <si>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</si>
  <si>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</si>
  <si>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</si>
  <si>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</si>
  <si>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</si>
  <si>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</si>
  <si>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</si>
  <si>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</si>
  <si>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</si>
  <si>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</si>
  <si>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</si>
  <si>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</si>
  <si>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</si>
  <si>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</si>
  <si>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</si>
  <si>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</si>
  <si>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</si>
  <si>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</si>
  <si>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</si>
  <si>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</si>
  <si>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</si>
  <si>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</si>
  <si>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</si>
  <si>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</si>
  <si>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</si>
  <si>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</si>
  <si>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</si>
  <si>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</si>
  <si>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</si>
  <si>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</si>
  <si>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</si>
  <si>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</si>
  <si>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</si>
  <si>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</si>
  <si>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</si>
  <si>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</si>
  <si>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</si>
  <si>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</si>
  <si>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</si>
  <si>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</si>
  <si>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</si>
  <si>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</si>
  <si>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</si>
  <si>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</si>
  <si>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</si>
  <si>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</si>
  <si>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</si>
  <si>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</si>
  <si>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</si>
  <si>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</si>
  <si>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</si>
  <si>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</si>
  <si>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</si>
  <si>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</si>
  <si>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</si>
  <si>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</si>
  <si>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</si>
  <si>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</si>
  <si>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</si>
  <si>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</si>
  <si>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</si>
  <si>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</si>
  <si>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</si>
  <si>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</si>
  <si>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</si>
  <si>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</si>
  <si>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</si>
  <si>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</si>
  <si>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</si>
  <si>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</si>
  <si>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</si>
  <si>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</si>
  <si>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</si>
  <si>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</si>
  <si>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</si>
  <si>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</si>
  <si>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</si>
  <si>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</si>
  <si>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</si>
  <si>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</si>
  <si>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</si>
  <si>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</si>
  <si>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</si>
  <si>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</si>
  <si>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</si>
  <si>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</si>
  <si>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</si>
  <si>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</si>
  <si>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</si>
  <si>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</si>
  <si>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</si>
  <si>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</si>
  <si>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</si>
  <si>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</si>
  <si>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</si>
  <si>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</si>
  <si>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</si>
  <si>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</si>
  <si>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</si>
  <si>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</si>
  <si>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</si>
  <si>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</si>
  <si>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</si>
  <si>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</si>
  <si>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</si>
  <si>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</si>
  <si>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</si>
  <si>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</si>
  <si>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</si>
  <si>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</si>
  <si>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</si>
  <si>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</si>
  <si>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</si>
  <si>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</si>
  <si>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</si>
  <si>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</si>
  <si>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</si>
  <si>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</si>
  <si>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</si>
  <si>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</si>
  <si>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</si>
  <si>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</si>
  <si>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</si>
  <si>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</si>
  <si>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</si>
  <si>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</si>
  <si>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</si>
  <si>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</si>
  <si>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</si>
  <si>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</si>
  <si>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</si>
  <si>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</si>
  <si>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</si>
  <si>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</si>
  <si>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</si>
  <si>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</si>
  <si>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</si>
  <si>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</si>
  <si>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</si>
  <si>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</si>
  <si>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</si>
  <si>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</si>
  <si>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</si>
  <si>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</si>
  <si>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</si>
  <si>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</si>
  <si>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</si>
  <si>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</si>
  <si>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</si>
  <si>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</si>
  <si>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</si>
  <si>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</si>
  <si>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</si>
  <si>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</si>
  <si>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</si>
  <si>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</si>
  <si>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</si>
  <si>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</si>
  <si>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</si>
  <si>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</si>
  <si>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</si>
  <si>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</si>
  <si>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</si>
  <si>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</si>
  <si>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</si>
  <si>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</si>
  <si>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</si>
  <si>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</si>
  <si>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</si>
  <si>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</si>
  <si>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</si>
  <si>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</si>
  <si>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</si>
  <si>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</si>
  <si>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</si>
  <si>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</si>
  <si>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</si>
  <si>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</si>
  <si>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</si>
  <si>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</si>
  <si>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</si>
  <si>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</si>
  <si>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</si>
  <si>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</si>
  <si>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</si>
  <si>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</si>
  <si>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</si>
  <si>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</si>
  <si>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</si>
  <si>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</si>
  <si>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</si>
  <si>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</si>
  <si>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</si>
  <si>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</si>
  <si>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</si>
  <si>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</si>
  <si>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</si>
  <si>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</si>
  <si>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</si>
  <si>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</si>
  <si>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</si>
  <si>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</si>
  <si>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</si>
  <si>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</si>
  <si>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</si>
  <si>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</si>
  <si>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</si>
  <si>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</si>
  <si>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</si>
  <si>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</si>
  <si>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</si>
  <si>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</si>
  <si>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</si>
  <si>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</si>
  <si>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</si>
  <si>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09 al 13</t>
  </si>
  <si>
    <t>Semana del 03 al 06</t>
  </si>
  <si>
    <t>Semana del 24 al 27</t>
  </si>
  <si>
    <t xml:space="preserve">   A partir de diciembre 2016 incluye Instituciones Financieras de Desarrollo.</t>
  </si>
  <si>
    <r>
      <t>2016                         A  fines de Dic*</t>
    </r>
    <r>
      <rPr>
        <vertAlign val="superscript"/>
        <sz val="8"/>
        <color indexed="8"/>
        <rFont val="Arial Narrow"/>
        <family val="2"/>
      </rPr>
      <t xml:space="preserve"> 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</si>
</sst>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theme" Target="theme/theme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6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3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6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7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5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2.1739099999999998</v>
          </cell>
        </row>
        <row r="480">
          <cell r="H480">
            <v>63499.322907737456</v>
          </cell>
        </row>
        <row r="510">
          <cell r="H510">
            <v>-24975.082607351047</v>
          </cell>
        </row>
        <row r="512">
          <cell r="H512">
            <v>-3357.492227298198</v>
          </cell>
        </row>
        <row r="608">
          <cell r="H608">
            <v>5509.5388962622001</v>
          </cell>
        </row>
        <row r="805">
          <cell r="H805">
            <v>-43490.983175400004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2.1745700000000001</v>
          </cell>
        </row>
        <row r="480">
          <cell r="H480">
            <v>63315.628867626889</v>
          </cell>
        </row>
        <row r="510">
          <cell r="H510">
            <v>-25012.680304797825</v>
          </cell>
        </row>
        <row r="512">
          <cell r="H512">
            <v>-3741.3227716747128</v>
          </cell>
        </row>
        <row r="608">
          <cell r="H608">
            <v>5509.4859564074004</v>
          </cell>
        </row>
        <row r="805">
          <cell r="H805">
            <v>-43598.164504400003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2.1747899999999998</v>
          </cell>
        </row>
        <row r="480">
          <cell r="H480">
            <v>63417.070329622438</v>
          </cell>
        </row>
        <row r="510">
          <cell r="H510">
            <v>-25112.938250259373</v>
          </cell>
        </row>
        <row r="512">
          <cell r="H512">
            <v>-3502.628179189081</v>
          </cell>
        </row>
        <row r="608">
          <cell r="H608">
            <v>5509.5128699024008</v>
          </cell>
        </row>
        <row r="805">
          <cell r="H805">
            <v>-43608.004001199995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2.17502</v>
          </cell>
        </row>
        <row r="480">
          <cell r="H480">
            <v>63578.748036054712</v>
          </cell>
        </row>
        <row r="510">
          <cell r="H510">
            <v>-25293.154309783957</v>
          </cell>
        </row>
        <row r="512">
          <cell r="H512">
            <v>-3446.3400885196875</v>
          </cell>
        </row>
        <row r="608">
          <cell r="H608">
            <v>5509.5065217270003</v>
          </cell>
        </row>
        <row r="805">
          <cell r="H805">
            <v>-43473.026568599998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2.1752500000000001</v>
          </cell>
        </row>
        <row r="480">
          <cell r="H480">
            <v>63356.280946903193</v>
          </cell>
        </row>
        <row r="510">
          <cell r="H510">
            <v>-25143.74414618835</v>
          </cell>
        </row>
        <row r="512">
          <cell r="H512">
            <v>-3411.0864257801018</v>
          </cell>
        </row>
        <row r="608">
          <cell r="H608">
            <v>5509.5183424674005</v>
          </cell>
        </row>
        <row r="805">
          <cell r="H805">
            <v>-43440.5312538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2.1754799999999999</v>
          </cell>
        </row>
        <row r="480">
          <cell r="H480">
            <v>63371.138082487872</v>
          </cell>
        </row>
        <row r="510">
          <cell r="H510">
            <v>-25596.566842516353</v>
          </cell>
        </row>
        <row r="512">
          <cell r="H512">
            <v>-3570.0975619361193</v>
          </cell>
        </row>
        <row r="608">
          <cell r="H608">
            <v>5509.5633902352001</v>
          </cell>
        </row>
        <row r="805">
          <cell r="H805">
            <v>-43340.247886699995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2.1761699999999999</v>
          </cell>
        </row>
        <row r="480">
          <cell r="H480">
            <v>62833.407692988316</v>
          </cell>
        </row>
        <row r="510">
          <cell r="H510">
            <v>-25647.602792659331</v>
          </cell>
        </row>
        <row r="512">
          <cell r="H512">
            <v>-3862.5848238195499</v>
          </cell>
        </row>
        <row r="608">
          <cell r="H608">
            <v>5509.5744851876007</v>
          </cell>
        </row>
        <row r="805">
          <cell r="H805">
            <v>-43272.080110000003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2.1764000000000001</v>
          </cell>
        </row>
        <row r="480">
          <cell r="H480">
            <v>62240.339603334003</v>
          </cell>
        </row>
        <row r="510">
          <cell r="H510">
            <v>-25519.501923141328</v>
          </cell>
        </row>
        <row r="512">
          <cell r="H512">
            <v>-4398.0662940665643</v>
          </cell>
        </row>
        <row r="608">
          <cell r="H608">
            <v>5509.5428940644006</v>
          </cell>
        </row>
        <row r="805">
          <cell r="H805">
            <v>-43160.222811800006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2.1766299999999998</v>
          </cell>
        </row>
        <row r="480">
          <cell r="H480">
            <v>61761.32938961628</v>
          </cell>
        </row>
        <row r="510">
          <cell r="H510">
            <v>-25862.320393936301</v>
          </cell>
        </row>
        <row r="512">
          <cell r="H512">
            <v>-4820.7415769127792</v>
          </cell>
        </row>
        <row r="608">
          <cell r="H608">
            <v>5509.6251208370004</v>
          </cell>
        </row>
        <row r="805">
          <cell r="H805">
            <v>-43038.759348500003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2.17686</v>
          </cell>
        </row>
        <row r="480">
          <cell r="H480">
            <v>61458.14127483395</v>
          </cell>
        </row>
        <row r="510">
          <cell r="H510">
            <v>-25681.824793350854</v>
          </cell>
        </row>
        <row r="512">
          <cell r="H512">
            <v>-5019.2083262031838</v>
          </cell>
        </row>
        <row r="608">
          <cell r="H608">
            <v>5509.5887484310006</v>
          </cell>
        </row>
        <row r="805">
          <cell r="H805">
            <v>-43007.6490022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2.1770900000000002</v>
          </cell>
        </row>
        <row r="480">
          <cell r="H480">
            <v>60907.425662312431</v>
          </cell>
        </row>
        <row r="510">
          <cell r="H510">
            <v>-25639.915965171826</v>
          </cell>
        </row>
        <row r="512">
          <cell r="H512">
            <v>-5207.7850066482079</v>
          </cell>
        </row>
        <row r="608">
          <cell r="H608">
            <v>5509.5760981794001</v>
          </cell>
        </row>
        <row r="805">
          <cell r="H805">
            <v>-42909.588386199997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2.17801</v>
          </cell>
        </row>
        <row r="480">
          <cell r="H480">
            <v>60156.817970721357</v>
          </cell>
        </row>
        <row r="510">
          <cell r="H510">
            <v>-25873.743669292493</v>
          </cell>
        </row>
        <row r="512">
          <cell r="H512">
            <v>-5926.4643700068618</v>
          </cell>
        </row>
        <row r="608">
          <cell r="H608">
            <v>5509.6187725930004</v>
          </cell>
        </row>
        <row r="805">
          <cell r="H805">
            <v>-42797.0556077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2.1782400000000002</v>
          </cell>
        </row>
        <row r="480">
          <cell r="H480">
            <v>59879.384587208035</v>
          </cell>
        </row>
        <row r="510">
          <cell r="H510">
            <v>-25887.019593567045</v>
          </cell>
        </row>
        <row r="512">
          <cell r="H512">
            <v>-6183.8832891986622</v>
          </cell>
        </row>
        <row r="608">
          <cell r="H608">
            <v>5509.6409163300004</v>
          </cell>
        </row>
        <row r="805">
          <cell r="H805">
            <v>-42699.403890900001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2.1784699999999999</v>
          </cell>
        </row>
        <row r="480">
          <cell r="H480">
            <v>60329.357324533514</v>
          </cell>
        </row>
        <row r="510">
          <cell r="H510">
            <v>-25786.605880008454</v>
          </cell>
        </row>
        <row r="512">
          <cell r="H512">
            <v>-5624.8435617602718</v>
          </cell>
        </row>
        <row r="608">
          <cell r="H608">
            <v>5509.6480134116</v>
          </cell>
        </row>
        <row r="805">
          <cell r="H805">
            <v>-42581.595542300005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0">
          <cell r="H480">
            <v>59553.694279292584</v>
          </cell>
        </row>
        <row r="510">
          <cell r="H510">
            <v>-25645.582070873475</v>
          </cell>
        </row>
        <row r="512">
          <cell r="H512">
            <v>-6046.3594378068847</v>
          </cell>
        </row>
        <row r="608">
          <cell r="H608">
            <v>5509.6171481450001</v>
          </cell>
        </row>
        <row r="805">
          <cell r="H805">
            <v>-42447.328319599997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2.1732499999999999</v>
          </cell>
        </row>
        <row r="480">
          <cell r="H480">
            <v>62353.547795013816</v>
          </cell>
        </row>
        <row r="510">
          <cell r="H510">
            <v>-24976.207305759777</v>
          </cell>
        </row>
        <row r="512">
          <cell r="H512">
            <v>-5013.4802870723952</v>
          </cell>
        </row>
        <row r="608">
          <cell r="H608">
            <v>5509.4843779900002</v>
          </cell>
        </row>
        <row r="805">
          <cell r="H805">
            <v>-43375.1053207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2.17347</v>
          </cell>
        </row>
        <row r="480">
          <cell r="H480">
            <v>62744.287166607159</v>
          </cell>
        </row>
        <row r="510">
          <cell r="H510">
            <v>-24530.034912606276</v>
          </cell>
        </row>
        <row r="512">
          <cell r="H512">
            <v>-4365.9196884204712</v>
          </cell>
        </row>
        <row r="608">
          <cell r="H608">
            <v>5509.3911140262007</v>
          </cell>
        </row>
        <row r="805">
          <cell r="H805">
            <v>-43630.271597899999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2.1736900000000001</v>
          </cell>
        </row>
        <row r="480">
          <cell r="H480">
            <v>62749.78523151351</v>
          </cell>
        </row>
        <row r="510">
          <cell r="H510">
            <v>-24702.599010927064</v>
          </cell>
        </row>
        <row r="512">
          <cell r="H512">
            <v>-4326.8854098586398</v>
          </cell>
        </row>
        <row r="608">
          <cell r="H608">
            <v>5509.4243296660006</v>
          </cell>
        </row>
        <row r="805">
          <cell r="H805">
            <v>-43551.972051800003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88"/>
  <sheetViews>
    <sheetView zoomScale="93" zoomScaleNormal="93" workbookViewId="0">
      <pane xSplit="4" ySplit="5" topLeftCell="AO6" activePane="bottomRight" state="frozen"/>
      <selection pane="topRight" activeCell="E1" sqref="E1"/>
      <selection pane="bottomLeft" activeCell="A6" sqref="A6"/>
      <selection pane="bottomRight" activeCell="DS16" sqref="DS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hidden="1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hidden="1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1" width="8.85546875" style="180" hidden="1" customWidth="1"/>
    <col min="92" max="92" width="8.85546875" style="180" customWidth="1"/>
    <col min="93" max="93" width="8.85546875" style="180" hidden="1" customWidth="1"/>
    <col min="94" max="94" width="9.28515625" style="180" hidden="1" customWidth="1"/>
    <col min="95" max="95" width="9.28515625" style="180" customWidth="1"/>
    <col min="96" max="97" width="9.28515625" style="180" hidden="1" customWidth="1"/>
    <col min="98" max="98" width="9.28515625" style="180" customWidth="1"/>
    <col min="99" max="100" width="9.28515625" style="180" hidden="1" customWidth="1"/>
    <col min="101" max="115" width="9.28515625" style="180" customWidth="1"/>
    <col min="116" max="116" width="8.28515625" style="180" hidden="1" customWidth="1"/>
    <col min="117" max="120" width="8.28515625" style="180" customWidth="1"/>
    <col min="121" max="121" width="9" style="180" hidden="1" customWidth="1"/>
    <col min="122" max="122" width="10" style="180" hidden="1" customWidth="1"/>
    <col min="123" max="123" width="14.85546875" customWidth="1"/>
  </cols>
  <sheetData>
    <row r="1" spans="1:131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</row>
    <row r="3" spans="1:131" ht="19.5" customHeight="1" thickBot="1" x14ac:dyDescent="0.3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4" t="s">
        <v>98</v>
      </c>
      <c r="M3" s="909" t="s">
        <v>99</v>
      </c>
      <c r="N3" s="904" t="s">
        <v>100</v>
      </c>
      <c r="O3" s="904" t="s">
        <v>101</v>
      </c>
      <c r="P3" s="909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909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909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17" t="s">
        <v>176</v>
      </c>
      <c r="BT3" s="917" t="s">
        <v>177</v>
      </c>
      <c r="BU3" s="915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909" t="s">
        <v>201</v>
      </c>
      <c r="CA3" s="909" t="s">
        <v>202</v>
      </c>
      <c r="CB3" s="909" t="s">
        <v>204</v>
      </c>
      <c r="CC3" s="909" t="s">
        <v>206</v>
      </c>
      <c r="CD3" s="909" t="s">
        <v>207</v>
      </c>
      <c r="CE3" s="909" t="s">
        <v>208</v>
      </c>
      <c r="CF3" s="909" t="s">
        <v>209</v>
      </c>
      <c r="CG3" s="909" t="s">
        <v>210</v>
      </c>
      <c r="CH3" s="909" t="s">
        <v>212</v>
      </c>
      <c r="CI3" s="909" t="s">
        <v>213</v>
      </c>
      <c r="CJ3" s="904" t="s">
        <v>214</v>
      </c>
      <c r="CK3" s="904" t="s">
        <v>215</v>
      </c>
      <c r="CL3" s="904" t="s">
        <v>216</v>
      </c>
      <c r="CM3" s="904" t="s">
        <v>217</v>
      </c>
      <c r="CN3" s="904" t="s">
        <v>219</v>
      </c>
      <c r="CO3" s="904" t="s">
        <v>220</v>
      </c>
      <c r="CP3" s="904" t="s">
        <v>227</v>
      </c>
      <c r="CQ3" s="904" t="s">
        <v>228</v>
      </c>
      <c r="CR3" s="904" t="s">
        <v>229</v>
      </c>
      <c r="CS3" s="904" t="s">
        <v>231</v>
      </c>
      <c r="CT3" s="904" t="s">
        <v>232</v>
      </c>
      <c r="CU3" s="904" t="s">
        <v>233</v>
      </c>
      <c r="CV3" s="904" t="s">
        <v>235</v>
      </c>
      <c r="CW3" s="904" t="s">
        <v>242</v>
      </c>
      <c r="CX3" s="922" t="s">
        <v>239</v>
      </c>
      <c r="CY3" s="923"/>
      <c r="CZ3" s="923"/>
      <c r="DA3" s="924"/>
      <c r="DB3" s="922" t="s">
        <v>238</v>
      </c>
      <c r="DC3" s="923"/>
      <c r="DD3" s="923"/>
      <c r="DE3" s="923"/>
      <c r="DF3" s="924"/>
      <c r="DG3" s="922" t="s">
        <v>237</v>
      </c>
      <c r="DH3" s="923"/>
      <c r="DI3" s="923"/>
      <c r="DJ3" s="923"/>
      <c r="DK3" s="924"/>
      <c r="DL3" s="922" t="s">
        <v>240</v>
      </c>
      <c r="DM3" s="923"/>
      <c r="DN3" s="923"/>
      <c r="DO3" s="923"/>
      <c r="DP3" s="924"/>
      <c r="DQ3" s="920" t="s">
        <v>131</v>
      </c>
      <c r="DR3" s="921"/>
    </row>
    <row r="4" spans="1:131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5"/>
      <c r="M4" s="910"/>
      <c r="N4" s="905"/>
      <c r="O4" s="905"/>
      <c r="P4" s="910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10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10"/>
      <c r="BM4" s="905"/>
      <c r="BN4" s="905"/>
      <c r="BO4" s="905"/>
      <c r="BP4" s="905"/>
      <c r="BQ4" s="905"/>
      <c r="BR4" s="905"/>
      <c r="BS4" s="918"/>
      <c r="BT4" s="918"/>
      <c r="BU4" s="916"/>
      <c r="BV4" s="905"/>
      <c r="BW4" s="905"/>
      <c r="BX4" s="905"/>
      <c r="BY4" s="905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343">
        <v>42738</v>
      </c>
      <c r="CY4" s="343">
        <f>CX4+1</f>
        <v>42739</v>
      </c>
      <c r="CZ4" s="343">
        <f>CY4+1</f>
        <v>42740</v>
      </c>
      <c r="DA4" s="421">
        <f>CZ4+1</f>
        <v>42741</v>
      </c>
      <c r="DB4" s="343">
        <v>42744</v>
      </c>
      <c r="DC4" s="343">
        <f>DB4+1</f>
        <v>42745</v>
      </c>
      <c r="DD4" s="343">
        <f>DC4+1</f>
        <v>42746</v>
      </c>
      <c r="DE4" s="343">
        <f>DD4+1</f>
        <v>42747</v>
      </c>
      <c r="DF4" s="421">
        <f>DE4+1</f>
        <v>42748</v>
      </c>
      <c r="DG4" s="343">
        <v>42751</v>
      </c>
      <c r="DH4" s="343">
        <f>DG4+1</f>
        <v>42752</v>
      </c>
      <c r="DI4" s="343">
        <f>DH4+1</f>
        <v>42753</v>
      </c>
      <c r="DJ4" s="343">
        <f>DI4+1</f>
        <v>42754</v>
      </c>
      <c r="DK4" s="421">
        <f>DJ4+1</f>
        <v>42755</v>
      </c>
      <c r="DL4" s="343">
        <v>42758</v>
      </c>
      <c r="DM4" s="343">
        <f>DL4+1</f>
        <v>42759</v>
      </c>
      <c r="DN4" s="343">
        <f>DM4+1</f>
        <v>42760</v>
      </c>
      <c r="DO4" s="343">
        <f>DN4+1</f>
        <v>42761</v>
      </c>
      <c r="DP4" s="421">
        <f>DO4+1</f>
        <v>42762</v>
      </c>
      <c r="DQ4" s="342" t="s">
        <v>13</v>
      </c>
      <c r="DR4" s="281" t="s">
        <v>196</v>
      </c>
    </row>
    <row r="5" spans="1:131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291"/>
      <c r="DB5" s="698"/>
      <c r="DC5" s="698"/>
      <c r="DD5" s="698"/>
      <c r="DE5" s="698"/>
      <c r="DF5" s="291"/>
      <c r="DG5" s="698"/>
      <c r="DH5" s="698"/>
      <c r="DI5" s="698"/>
      <c r="DJ5" s="698"/>
      <c r="DK5" s="291"/>
      <c r="DL5" s="698"/>
      <c r="DM5" s="698"/>
      <c r="DN5" s="698"/>
      <c r="DO5" s="698"/>
      <c r="DP5" s="291"/>
      <c r="DQ5" s="282"/>
      <c r="DR5" s="184"/>
    </row>
    <row r="6" spans="1:131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7"/>
      <c r="CY6" s="386"/>
      <c r="CZ6" s="887"/>
      <c r="DA6" s="387"/>
      <c r="DB6" s="887"/>
      <c r="DC6" s="386"/>
      <c r="DD6" s="887"/>
      <c r="DE6" s="887"/>
      <c r="DF6" s="387"/>
      <c r="DG6" s="887"/>
      <c r="DH6" s="386"/>
      <c r="DI6" s="887"/>
      <c r="DJ6" s="887"/>
      <c r="DK6" s="387"/>
      <c r="DL6" s="887"/>
      <c r="DM6" s="386"/>
      <c r="DN6" s="887"/>
      <c r="DO6" s="887"/>
      <c r="DP6" s="387"/>
      <c r="DQ6" s="273"/>
      <c r="DR6" s="274"/>
      <c r="DT6" s="202"/>
    </row>
    <row r="7" spans="1:131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3">
        <v>10694.288073039999</v>
      </c>
      <c r="CV7" s="416">
        <v>10353.11501207</v>
      </c>
      <c r="CW7" s="833">
        <v>10081.371341420001</v>
      </c>
      <c r="CX7" s="425">
        <v>9964.1602055600015</v>
      </c>
      <c r="CY7" s="425">
        <v>9936.3167484099995</v>
      </c>
      <c r="CZ7" s="425">
        <v>9950.0582950700009</v>
      </c>
      <c r="DA7" s="894">
        <v>9980.8884291700015</v>
      </c>
      <c r="DB7" s="425">
        <v>10001.581449589999</v>
      </c>
      <c r="DC7" s="425">
        <v>10017.630639430001</v>
      </c>
      <c r="DD7" s="425">
        <v>10024.597891470001</v>
      </c>
      <c r="DE7" s="425">
        <v>9997.7083578700021</v>
      </c>
      <c r="DF7" s="894">
        <v>10049.098930650001</v>
      </c>
      <c r="DG7" s="425">
        <v>10046.60157986</v>
      </c>
      <c r="DH7" s="425">
        <v>10011.622904239999</v>
      </c>
      <c r="DI7" s="425">
        <v>10043.890398040001</v>
      </c>
      <c r="DJ7" s="425">
        <v>10013.044050100001</v>
      </c>
      <c r="DK7" s="894">
        <v>9993.151788879999</v>
      </c>
      <c r="DL7" s="425"/>
      <c r="DM7" s="425">
        <v>10010.322251780002</v>
      </c>
      <c r="DN7" s="425">
        <v>9998.023360119998</v>
      </c>
      <c r="DO7" s="425">
        <v>9966.2125638800007</v>
      </c>
      <c r="DP7" s="667">
        <v>9926.0826758399999</v>
      </c>
      <c r="DQ7" s="348" t="e">
        <f>DP7-#REF!</f>
        <v>#REF!</v>
      </c>
      <c r="DR7" s="744" t="e">
        <f>(+(DP7/#REF!-1))*100</f>
        <v>#REF!</v>
      </c>
      <c r="DS7" s="479"/>
      <c r="DT7" s="819"/>
      <c r="DU7" s="271"/>
    </row>
    <row r="8" spans="1:131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3">
        <v>8698.4865364500001</v>
      </c>
      <c r="CV8" s="416">
        <v>8477.6299724400014</v>
      </c>
      <c r="CW8" s="833">
        <v>8251.3567301599996</v>
      </c>
      <c r="CX8" s="425">
        <v>8141.4888461399996</v>
      </c>
      <c r="CY8" s="425">
        <v>8103.1881863099998</v>
      </c>
      <c r="CZ8" s="425">
        <v>8113.0116327200003</v>
      </c>
      <c r="DA8" s="894">
        <v>8116.1064522200004</v>
      </c>
      <c r="DB8" s="425">
        <v>8149.4200129400006</v>
      </c>
      <c r="DC8" s="425">
        <v>8150.2070274800008</v>
      </c>
      <c r="DD8" s="425">
        <v>8152.0054374599995</v>
      </c>
      <c r="DE8" s="425">
        <v>8120.875927080001</v>
      </c>
      <c r="DF8" s="894">
        <v>8161.0348421600002</v>
      </c>
      <c r="DG8" s="425">
        <v>8157.7779888499999</v>
      </c>
      <c r="DH8" s="425">
        <v>8116.4588544000007</v>
      </c>
      <c r="DI8" s="425">
        <v>8129.5833659000009</v>
      </c>
      <c r="DJ8" s="425">
        <v>8108.0497139400013</v>
      </c>
      <c r="DK8" s="894">
        <v>8096.0401491400007</v>
      </c>
      <c r="DL8" s="425"/>
      <c r="DM8" s="425">
        <v>8099.894630140001</v>
      </c>
      <c r="DN8" s="425">
        <v>8093.41384096</v>
      </c>
      <c r="DO8" s="425">
        <v>8052.5579343899999</v>
      </c>
      <c r="DP8" s="667">
        <v>8024.6121047699999</v>
      </c>
      <c r="DQ8" s="348" t="e">
        <f>DP8-#REF!</f>
        <v>#REF!</v>
      </c>
      <c r="DR8" s="744" t="e">
        <f>(+(DP8/#REF!-1))*100</f>
        <v>#REF!</v>
      </c>
      <c r="DS8" s="479"/>
      <c r="DT8" s="819"/>
      <c r="DU8" s="271"/>
    </row>
    <row r="9" spans="1:131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3">
        <v>228.70130441000001</v>
      </c>
      <c r="CV9" s="416">
        <v>225.42481620000001</v>
      </c>
      <c r="CW9" s="833">
        <v>223.46971510999998</v>
      </c>
      <c r="CX9" s="425">
        <v>224.17676582000001</v>
      </c>
      <c r="CY9" s="425">
        <v>222.88773233000001</v>
      </c>
      <c r="CZ9" s="425">
        <v>223.46637995999998</v>
      </c>
      <c r="DA9" s="894">
        <v>224.27682016999998</v>
      </c>
      <c r="DB9" s="425">
        <v>225.06724950999998</v>
      </c>
      <c r="DC9" s="425">
        <v>224.12006836</v>
      </c>
      <c r="DD9" s="425">
        <v>224.45358285</v>
      </c>
      <c r="DE9" s="425">
        <v>223.98332741999999</v>
      </c>
      <c r="DF9" s="894">
        <v>225.57919425</v>
      </c>
      <c r="DG9" s="425">
        <v>225.33072596000002</v>
      </c>
      <c r="DH9" s="425">
        <v>225.33072596000002</v>
      </c>
      <c r="DI9" s="425">
        <v>226.24455565</v>
      </c>
      <c r="DJ9" s="425">
        <v>226.07613083999999</v>
      </c>
      <c r="DK9" s="894">
        <v>225.68925403</v>
      </c>
      <c r="DL9" s="425"/>
      <c r="DM9" s="425">
        <v>225.68925403</v>
      </c>
      <c r="DN9" s="425">
        <v>226.67645691000001</v>
      </c>
      <c r="DO9" s="425">
        <v>226.81820056999999</v>
      </c>
      <c r="DP9" s="667">
        <v>226.56639713999999</v>
      </c>
      <c r="DQ9" s="348" t="e">
        <f>DP9-#REF!</f>
        <v>#REF!</v>
      </c>
      <c r="DR9" s="744" t="e">
        <f>(+(DP9/#REF!-1))*100</f>
        <v>#REF!</v>
      </c>
      <c r="DS9" s="479"/>
      <c r="DT9" s="819"/>
      <c r="DU9" s="271"/>
    </row>
    <row r="10" spans="1:131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3">
        <v>1754.9263059300001</v>
      </c>
      <c r="CV10" s="416">
        <v>1638.0603359300001</v>
      </c>
      <c r="CW10" s="833">
        <v>1594.6515974000001</v>
      </c>
      <c r="CX10" s="425">
        <v>1586.5636648500001</v>
      </c>
      <c r="CY10" s="425">
        <v>1598.3785047700001</v>
      </c>
      <c r="CZ10" s="425">
        <v>1601.6871611399999</v>
      </c>
      <c r="DA10" s="894">
        <v>1628.56890303</v>
      </c>
      <c r="DB10" s="425">
        <v>1615.1158658900001</v>
      </c>
      <c r="DC10" s="425">
        <v>1631.37563234</v>
      </c>
      <c r="DD10" s="425">
        <v>1636.19320991</v>
      </c>
      <c r="DE10" s="425">
        <v>1640.9284696200002</v>
      </c>
      <c r="DF10" s="894">
        <v>1650.47932674</v>
      </c>
      <c r="DG10" s="425">
        <v>1651.5005212999999</v>
      </c>
      <c r="DH10" s="425">
        <v>1657.8409801299999</v>
      </c>
      <c r="DI10" s="425">
        <v>1676.0214977400001</v>
      </c>
      <c r="DJ10" s="425">
        <v>1666.88619032</v>
      </c>
      <c r="DK10" s="894">
        <v>1659.4109607099999</v>
      </c>
      <c r="DL10" s="425"/>
      <c r="DM10" s="425">
        <v>1672.7269426099999</v>
      </c>
      <c r="DN10" s="425">
        <v>1665.8690972500001</v>
      </c>
      <c r="DO10" s="425">
        <v>1651.4380046699998</v>
      </c>
      <c r="DP10" s="667">
        <v>1639.5450474300001</v>
      </c>
      <c r="DQ10" s="348" t="e">
        <f>DP10-#REF!</f>
        <v>#REF!</v>
      </c>
      <c r="DR10" s="744" t="e">
        <f>(+(DP10/#REF!-1))*100</f>
        <v>#REF!</v>
      </c>
      <c r="DS10" s="479"/>
      <c r="DT10" s="819"/>
      <c r="DU10" s="271"/>
    </row>
    <row r="11" spans="1:131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3">
        <v>12.173926250000001</v>
      </c>
      <c r="CV11" s="416">
        <v>11.999887500000002</v>
      </c>
      <c r="CW11" s="833">
        <v>11.89329875</v>
      </c>
      <c r="CX11" s="425">
        <v>11.93092875</v>
      </c>
      <c r="CY11" s="425">
        <v>11.862325</v>
      </c>
      <c r="CZ11" s="425">
        <v>11.89312125</v>
      </c>
      <c r="DA11" s="894">
        <v>11.936253750000001</v>
      </c>
      <c r="DB11" s="425">
        <v>11.97832125</v>
      </c>
      <c r="DC11" s="425">
        <v>11.927911249999999</v>
      </c>
      <c r="DD11" s="425">
        <v>11.945661249999999</v>
      </c>
      <c r="DE11" s="425">
        <v>11.92063375</v>
      </c>
      <c r="DF11" s="894">
        <v>12.0055675</v>
      </c>
      <c r="DG11" s="425">
        <v>11.99234375</v>
      </c>
      <c r="DH11" s="425">
        <v>11.99234375</v>
      </c>
      <c r="DI11" s="425">
        <v>12.040978750000001</v>
      </c>
      <c r="DJ11" s="425">
        <v>12.032014999999999</v>
      </c>
      <c r="DK11" s="894">
        <v>12.011424999999999</v>
      </c>
      <c r="DL11" s="425"/>
      <c r="DM11" s="425">
        <v>12.011424999999999</v>
      </c>
      <c r="DN11" s="425">
        <v>12.063965</v>
      </c>
      <c r="DO11" s="425">
        <v>35.398424249999998</v>
      </c>
      <c r="DP11" s="667">
        <v>35.359126499999995</v>
      </c>
      <c r="DQ11" s="348" t="e">
        <f>DP11-#REF!</f>
        <v>#REF!</v>
      </c>
      <c r="DR11" s="744" t="e">
        <f>(+(DP11/#REF!-1))*100</f>
        <v>#REF!</v>
      </c>
      <c r="DS11" s="479"/>
      <c r="DT11" s="819"/>
      <c r="DU11" s="271"/>
    </row>
    <row r="12" spans="1:131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9963.7481962900019</v>
      </c>
      <c r="CY12" s="425">
        <v>9935.9047391399999</v>
      </c>
      <c r="CZ12" s="425">
        <v>9949.6459275199995</v>
      </c>
      <c r="DA12" s="720">
        <v>9980.4760616200001</v>
      </c>
      <c r="DB12" s="425">
        <v>10001.580875969999</v>
      </c>
      <c r="DC12" s="425">
        <v>10017.630065810001</v>
      </c>
      <c r="DD12" s="425">
        <v>10024.224617850001</v>
      </c>
      <c r="DE12" s="425">
        <v>9997.7077842500003</v>
      </c>
      <c r="DF12" s="720">
        <v>10049.098357030001</v>
      </c>
      <c r="DG12" s="425">
        <v>10046.601006239998</v>
      </c>
      <c r="DH12" s="425">
        <v>10011.621681499999</v>
      </c>
      <c r="DI12" s="425">
        <v>10043.889175300001</v>
      </c>
      <c r="DJ12" s="425">
        <v>10013.042827360001</v>
      </c>
      <c r="DK12" s="720">
        <v>9992.6391183100004</v>
      </c>
      <c r="DL12" s="425"/>
      <c r="DM12" s="425">
        <v>10010.320594370001</v>
      </c>
      <c r="DN12" s="425">
        <v>9998.0209161499988</v>
      </c>
      <c r="DO12" s="425">
        <v>9966.2101199099998</v>
      </c>
      <c r="DP12" s="657">
        <v>9926.0802318699989</v>
      </c>
      <c r="DQ12" s="348" t="e">
        <f>DP12-#REF!</f>
        <v>#REF!</v>
      </c>
      <c r="DR12" s="744" t="e">
        <f>(+(DP12/#REF!-1))*100</f>
        <v>#REF!</v>
      </c>
      <c r="DS12" s="479"/>
      <c r="DT12" s="819"/>
      <c r="DU12" s="271"/>
    </row>
    <row r="13" spans="1:131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2481.3575371137035</v>
      </c>
      <c r="CY13" s="425">
        <v>2497.9547581924198</v>
      </c>
      <c r="CZ13" s="425">
        <v>2526.2845056895044</v>
      </c>
      <c r="DA13" s="457">
        <v>2538.1645716282796</v>
      </c>
      <c r="DB13" s="425">
        <v>2537.5439192011663</v>
      </c>
      <c r="DC13" s="425">
        <v>2547.179889600583</v>
      </c>
      <c r="DD13" s="425">
        <v>2539.6609429927112</v>
      </c>
      <c r="DE13" s="425">
        <v>2555.3471354985413</v>
      </c>
      <c r="DF13" s="457">
        <v>2555.8924278163263</v>
      </c>
      <c r="DG13" s="425">
        <v>2540.0854272172014</v>
      </c>
      <c r="DH13" s="425">
        <v>2534.8162164679297</v>
      </c>
      <c r="DI13" s="425">
        <v>2546.971412020408</v>
      </c>
      <c r="DJ13" s="425">
        <v>2527.1668959373169</v>
      </c>
      <c r="DK13" s="457">
        <v>2531.1987560947518</v>
      </c>
      <c r="DL13" s="425"/>
      <c r="DM13" s="425">
        <v>2527.7390057390662</v>
      </c>
      <c r="DN13" s="425">
        <v>2512.2408421603491</v>
      </c>
      <c r="DO13" s="425">
        <v>2570.4074464081632</v>
      </c>
      <c r="DP13" s="662">
        <v>2559.5259718206989</v>
      </c>
      <c r="DQ13" s="348" t="e">
        <f>DP13-#REF!</f>
        <v>#REF!</v>
      </c>
      <c r="DR13" s="744" t="e">
        <f>(+(DP13/#REF!-1))*100</f>
        <v>#REF!</v>
      </c>
      <c r="DS13" s="479"/>
      <c r="DT13" s="820"/>
      <c r="DU13" s="722"/>
      <c r="DV13" s="722"/>
      <c r="DW13" s="722"/>
      <c r="DX13" s="722"/>
    </row>
    <row r="14" spans="1:131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1814.0922024399997</v>
      </c>
      <c r="CY14" s="425">
        <v>1827.3555871599999</v>
      </c>
      <c r="CZ14" s="425">
        <v>1827.59358752</v>
      </c>
      <c r="DA14" s="720">
        <v>1827.8313966999999</v>
      </c>
      <c r="DB14" s="425">
        <v>1827.7861691999997</v>
      </c>
      <c r="DC14" s="425">
        <v>1834.1661352400001</v>
      </c>
      <c r="DD14" s="425">
        <v>1834.2261532700002</v>
      </c>
      <c r="DE14" s="425">
        <v>1834.2671411699996</v>
      </c>
      <c r="DF14" s="720">
        <v>1834.4881830500003</v>
      </c>
      <c r="DG14" s="425">
        <v>1834.4867191999999</v>
      </c>
      <c r="DH14" s="425">
        <v>1827.0560795999997</v>
      </c>
      <c r="DI14" s="425">
        <v>1827.2426789800002</v>
      </c>
      <c r="DJ14" s="425">
        <v>1827.1829088400002</v>
      </c>
      <c r="DK14" s="720">
        <v>1827.15666831</v>
      </c>
      <c r="DL14" s="425"/>
      <c r="DM14" s="425">
        <v>1827.6479495799997</v>
      </c>
      <c r="DN14" s="425">
        <v>1830.0506856599998</v>
      </c>
      <c r="DO14" s="425">
        <v>1830.0755012400002</v>
      </c>
      <c r="DP14" s="657">
        <v>1830.1587062499993</v>
      </c>
      <c r="DQ14" s="348" t="e">
        <f>DP14-#REF!</f>
        <v>#REF!</v>
      </c>
      <c r="DR14" s="744" t="e">
        <f>(+(DP14/#REF!-1))*100</f>
        <v>#REF!</v>
      </c>
      <c r="DS14" s="479"/>
      <c r="DT14" s="819"/>
      <c r="DU14" s="722"/>
      <c r="DV14" s="722"/>
      <c r="DW14" s="722"/>
      <c r="DX14" s="722"/>
    </row>
    <row r="15" spans="1:131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755.14864494230005</v>
      </c>
      <c r="CY15" s="425">
        <v>720.98979074090005</v>
      </c>
      <c r="CZ15" s="425">
        <v>721.01326521854992</v>
      </c>
      <c r="DA15" s="457">
        <v>721.03673618505002</v>
      </c>
      <c r="DB15" s="425">
        <v>721.1306520769499</v>
      </c>
      <c r="DC15" s="425">
        <v>721.15413878005006</v>
      </c>
      <c r="DD15" s="425">
        <v>721.15413878005006</v>
      </c>
      <c r="DE15" s="425">
        <v>721.17761902320001</v>
      </c>
      <c r="DF15" s="457">
        <v>706.82248146619997</v>
      </c>
      <c r="DG15" s="425">
        <v>706.87824235689993</v>
      </c>
      <c r="DH15" s="425">
        <v>706.91453917599995</v>
      </c>
      <c r="DI15" s="425">
        <v>706.93755278360004</v>
      </c>
      <c r="DJ15" s="425">
        <v>706.96057367054993</v>
      </c>
      <c r="DK15" s="457">
        <v>706.98358192064995</v>
      </c>
      <c r="DL15" s="425"/>
      <c r="DM15" s="425">
        <v>707.07566000884992</v>
      </c>
      <c r="DN15" s="425">
        <v>707.09868219580005</v>
      </c>
      <c r="DO15" s="425">
        <v>707.12169605929989</v>
      </c>
      <c r="DP15" s="662">
        <v>707.14471212939998</v>
      </c>
      <c r="DQ15" s="348" t="e">
        <f>DP15-#REF!</f>
        <v>#REF!</v>
      </c>
      <c r="DR15" s="744" t="e">
        <f>(+(DP15/#REF!-1))*100</f>
        <v>#REF!</v>
      </c>
      <c r="DS15" s="479"/>
      <c r="DT15" s="819"/>
      <c r="DU15" s="722"/>
      <c r="DV15" s="722"/>
      <c r="DW15" s="722"/>
      <c r="DX15" s="722"/>
      <c r="DY15" s="722"/>
      <c r="DZ15" s="722"/>
      <c r="EA15" s="722"/>
    </row>
    <row r="16" spans="1:131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644.29263477070015</v>
      </c>
      <c r="CY16" s="425">
        <v>644.29263477070015</v>
      </c>
      <c r="CZ16" s="425">
        <v>644.29263477070015</v>
      </c>
      <c r="DA16" s="457">
        <v>644.29263477070015</v>
      </c>
      <c r="DB16" s="425">
        <v>644.57984470710005</v>
      </c>
      <c r="DC16" s="425">
        <v>644.60078000809995</v>
      </c>
      <c r="DD16" s="425">
        <v>644.60092633809995</v>
      </c>
      <c r="DE16" s="425">
        <v>644.62099997320001</v>
      </c>
      <c r="DF16" s="457">
        <v>644.643283935</v>
      </c>
      <c r="DG16" s="425">
        <v>644.68961226869999</v>
      </c>
      <c r="DH16" s="425">
        <v>672.13080421059999</v>
      </c>
      <c r="DI16" s="425">
        <v>672.15203385645009</v>
      </c>
      <c r="DJ16" s="425">
        <v>672.1743220744379</v>
      </c>
      <c r="DK16" s="457">
        <v>672.19398188238517</v>
      </c>
      <c r="DL16" s="425"/>
      <c r="DM16" s="425">
        <v>672.28525459759999</v>
      </c>
      <c r="DN16" s="425">
        <v>672.30763315280012</v>
      </c>
      <c r="DO16" s="425">
        <v>672.32968301319988</v>
      </c>
      <c r="DP16" s="662">
        <v>672.35149635319999</v>
      </c>
      <c r="DQ16" s="348" t="e">
        <f>DP16-#REF!</f>
        <v>#REF!</v>
      </c>
      <c r="DR16" s="744" t="e">
        <f>(+(DP16/#REF!-1))*100</f>
        <v>#REF!</v>
      </c>
      <c r="DS16" s="479"/>
      <c r="DT16" s="819"/>
      <c r="DU16" s="722"/>
      <c r="DV16" s="722"/>
      <c r="DW16" s="722"/>
      <c r="DX16" s="722"/>
    </row>
    <row r="17" spans="1:128" ht="12.75" customHeight="1" x14ac:dyDescent="0.2">
      <c r="C17" s="25"/>
      <c r="D17" s="707" t="s">
        <v>226</v>
      </c>
      <c r="E17" s="231">
        <f t="shared" ref="E17:AJ17" si="0">+E12+E13+E15+E16</f>
        <v>8743.2995502275498</v>
      </c>
      <c r="F17" s="231">
        <f t="shared" si="0"/>
        <v>8653.8322565486524</v>
      </c>
      <c r="G17" s="231">
        <f t="shared" si="0"/>
        <v>8694.1080005520525</v>
      </c>
      <c r="H17" s="231">
        <f t="shared" si="0"/>
        <v>8766.3872190041056</v>
      </c>
      <c r="I17" s="231">
        <f t="shared" si="0"/>
        <v>8821.2138794007369</v>
      </c>
      <c r="J17" s="231">
        <f t="shared" si="0"/>
        <v>9013.6161974470579</v>
      </c>
      <c r="K17" s="231">
        <f t="shared" si="0"/>
        <v>9117.050637170616</v>
      </c>
      <c r="L17" s="231">
        <f t="shared" si="0"/>
        <v>9216.5490000102036</v>
      </c>
      <c r="M17" s="231">
        <f t="shared" si="0"/>
        <v>9585.8600533512017</v>
      </c>
      <c r="N17" s="231">
        <f t="shared" si="0"/>
        <v>9897.7912738221803</v>
      </c>
      <c r="O17" s="231">
        <f t="shared" si="0"/>
        <v>9994.1005235507328</v>
      </c>
      <c r="P17" s="231">
        <f t="shared" si="0"/>
        <v>10171.442165777251</v>
      </c>
      <c r="Q17" s="231">
        <f t="shared" si="0"/>
        <v>10217.144151113553</v>
      </c>
      <c r="R17" s="231">
        <f t="shared" si="0"/>
        <v>10204.417480454025</v>
      </c>
      <c r="S17" s="227">
        <f t="shared" si="0"/>
        <v>10089.880962785634</v>
      </c>
      <c r="T17" s="227">
        <f t="shared" si="0"/>
        <v>10052.758651770724</v>
      </c>
      <c r="U17" s="227">
        <f t="shared" si="0"/>
        <v>10095.114104820408</v>
      </c>
      <c r="V17" s="227">
        <f t="shared" si="0"/>
        <v>10080.091287389256</v>
      </c>
      <c r="W17" s="227">
        <f t="shared" si="0"/>
        <v>10094.649856413966</v>
      </c>
      <c r="X17" s="227">
        <f t="shared" si="0"/>
        <v>10240.226339436233</v>
      </c>
      <c r="Y17" s="227">
        <f t="shared" si="0"/>
        <v>10345.629520611479</v>
      </c>
      <c r="Z17" s="227">
        <f t="shared" si="0"/>
        <v>10678.260511949655</v>
      </c>
      <c r="AA17" s="227">
        <f t="shared" si="0"/>
        <v>10915.227980318292</v>
      </c>
      <c r="AB17" s="227">
        <f t="shared" si="0"/>
        <v>11004.765024425793</v>
      </c>
      <c r="AC17" s="227">
        <f t="shared" si="0"/>
        <v>11353.080702677154</v>
      </c>
      <c r="AD17" s="227">
        <f t="shared" si="0"/>
        <v>11362.143770821072</v>
      </c>
      <c r="AE17" s="227">
        <f t="shared" si="0"/>
        <v>11670.729075007293</v>
      </c>
      <c r="AF17" s="227">
        <f t="shared" si="0"/>
        <v>11772.874790913265</v>
      </c>
      <c r="AG17" s="227">
        <f t="shared" si="0"/>
        <v>12145.493858149552</v>
      </c>
      <c r="AH17" s="227">
        <f t="shared" si="0"/>
        <v>12078.416237352376</v>
      </c>
      <c r="AI17" s="227">
        <f t="shared" si="0"/>
        <v>12196.273056207589</v>
      </c>
      <c r="AJ17" s="227">
        <f t="shared" si="0"/>
        <v>12612.521495689685</v>
      </c>
      <c r="AK17" s="227">
        <f t="shared" ref="AK17:BP17" si="1">+AK12+AK13+AK15+AK16</f>
        <v>13153.607451184025</v>
      </c>
      <c r="AL17" s="227">
        <f t="shared" si="1"/>
        <v>12835.153648368982</v>
      </c>
      <c r="AM17" s="227">
        <f t="shared" si="1"/>
        <v>13332.896478927489</v>
      </c>
      <c r="AN17" s="227">
        <f t="shared" si="1"/>
        <v>13525.019748334684</v>
      </c>
      <c r="AO17" s="227">
        <f t="shared" si="1"/>
        <v>13430.914127053335</v>
      </c>
      <c r="AP17" s="227">
        <f t="shared" si="1"/>
        <v>13869.49290512617</v>
      </c>
      <c r="AQ17" s="227">
        <f t="shared" si="1"/>
        <v>14137.062411160441</v>
      </c>
      <c r="AR17" s="227">
        <f t="shared" si="1"/>
        <v>14107.367534309931</v>
      </c>
      <c r="AS17" s="227">
        <f t="shared" si="1"/>
        <v>14199.879525752342</v>
      </c>
      <c r="AT17" s="227">
        <f t="shared" si="1"/>
        <v>13992.836512830438</v>
      </c>
      <c r="AU17" s="227">
        <f t="shared" si="1"/>
        <v>14046.481748599252</v>
      </c>
      <c r="AV17" s="348">
        <f t="shared" si="1"/>
        <v>14337.459506660538</v>
      </c>
      <c r="AW17" s="227">
        <f t="shared" si="1"/>
        <v>14669.444518601274</v>
      </c>
      <c r="AX17" s="227">
        <f t="shared" si="1"/>
        <v>15050.047762564205</v>
      </c>
      <c r="AY17" s="227">
        <f t="shared" si="1"/>
        <v>15384.990165996867</v>
      </c>
      <c r="AZ17" s="227">
        <f t="shared" si="1"/>
        <v>15477.504418987221</v>
      </c>
      <c r="BA17" s="227">
        <f t="shared" si="1"/>
        <v>15641.485590007578</v>
      </c>
      <c r="BB17" s="227">
        <f t="shared" si="1"/>
        <v>15857.38183181024</v>
      </c>
      <c r="BC17" s="227">
        <f t="shared" si="1"/>
        <v>15885.420740731151</v>
      </c>
      <c r="BD17" s="227">
        <f t="shared" si="1"/>
        <v>16041.74979590813</v>
      </c>
      <c r="BE17" s="227">
        <f t="shared" si="1"/>
        <v>16140.991952644375</v>
      </c>
      <c r="BF17" s="227">
        <f t="shared" si="1"/>
        <v>15935.492036800993</v>
      </c>
      <c r="BG17" s="227">
        <f t="shared" si="1"/>
        <v>15785.759611876952</v>
      </c>
      <c r="BH17" s="227">
        <f t="shared" si="1"/>
        <v>16329.821405994588</v>
      </c>
      <c r="BI17" s="227">
        <f t="shared" si="1"/>
        <v>16925.059681962379</v>
      </c>
      <c r="BJ17" s="348">
        <f t="shared" si="1"/>
        <v>17030.899940915366</v>
      </c>
      <c r="BK17" s="348">
        <f t="shared" si="1"/>
        <v>17399.893995760736</v>
      </c>
      <c r="BL17" s="405">
        <f t="shared" si="1"/>
        <v>17343.912591545315</v>
      </c>
      <c r="BM17" s="227">
        <f t="shared" si="1"/>
        <v>17648.681410436646</v>
      </c>
      <c r="BN17" s="348">
        <f t="shared" si="1"/>
        <v>17704.321040993847</v>
      </c>
      <c r="BO17" s="348">
        <f t="shared" si="1"/>
        <v>17775.341254256211</v>
      </c>
      <c r="BP17" s="348">
        <f t="shared" si="1"/>
        <v>17926.320872616907</v>
      </c>
      <c r="BQ17" s="348">
        <f t="shared" ref="BQ17:CO17" si="2">+BQ12+BQ13+BQ15+BQ16</f>
        <v>18070.762632382244</v>
      </c>
      <c r="BR17" s="227">
        <f t="shared" si="2"/>
        <v>18149.427353849067</v>
      </c>
      <c r="BS17" s="405">
        <f t="shared" si="2"/>
        <v>18437.627723821606</v>
      </c>
      <c r="BT17" s="227">
        <f t="shared" si="2"/>
        <v>18661.646486890961</v>
      </c>
      <c r="BU17" s="405">
        <f t="shared" si="2"/>
        <v>19098.450181691893</v>
      </c>
      <c r="BV17" s="227">
        <f t="shared" si="2"/>
        <v>19004.536842356392</v>
      </c>
      <c r="BW17" s="227">
        <f t="shared" si="2"/>
        <v>19056.744437214751</v>
      </c>
      <c r="BX17" s="704">
        <f t="shared" si="2"/>
        <v>19075.079589932837</v>
      </c>
      <c r="BY17" s="334">
        <f t="shared" si="2"/>
        <v>18738.517148313247</v>
      </c>
      <c r="BZ17" s="455">
        <f t="shared" si="2"/>
        <v>18570.816512439818</v>
      </c>
      <c r="CA17" s="705">
        <f t="shared" si="2"/>
        <v>18616.801641074318</v>
      </c>
      <c r="CB17" s="334">
        <f t="shared" si="2"/>
        <v>18427.394790495149</v>
      </c>
      <c r="CC17" s="705">
        <f t="shared" si="2"/>
        <v>18507.721166693646</v>
      </c>
      <c r="CD17" s="705">
        <f t="shared" si="2"/>
        <v>18388.714233247141</v>
      </c>
      <c r="CE17" s="334">
        <f t="shared" si="2"/>
        <v>18377.686905666396</v>
      </c>
      <c r="CF17" s="705">
        <f t="shared" si="2"/>
        <v>18189.912582492012</v>
      </c>
      <c r="CG17" s="334">
        <f t="shared" si="2"/>
        <v>18168.014437809048</v>
      </c>
      <c r="CH17" s="334">
        <f t="shared" si="2"/>
        <v>18027.539271276721</v>
      </c>
      <c r="CI17" s="334">
        <f t="shared" si="2"/>
        <v>17778.163999768243</v>
      </c>
      <c r="CJ17" s="334">
        <f t="shared" si="2"/>
        <v>17328.908128976658</v>
      </c>
      <c r="CK17" s="324">
        <f t="shared" si="2"/>
        <v>17057.309521927371</v>
      </c>
      <c r="CL17" s="662">
        <f t="shared" si="2"/>
        <v>16817.69150137464</v>
      </c>
      <c r="CM17" s="662">
        <f t="shared" si="2"/>
        <v>16807.240463908278</v>
      </c>
      <c r="CN17" s="662">
        <f t="shared" si="2"/>
        <v>16553.434209402807</v>
      </c>
      <c r="CO17" s="662">
        <f t="shared" si="2"/>
        <v>16330.595366602958</v>
      </c>
      <c r="CP17" s="416">
        <f>+CP12+CP13+CP15+CP16</f>
        <v>15837.073167421711</v>
      </c>
      <c r="CQ17" s="416">
        <f>+CQ12+CQ13+CQ15+CQ16</f>
        <v>15670.038960641408</v>
      </c>
      <c r="CR17" s="662">
        <f>+CR12+CR13+CR15+CR16</f>
        <v>15663.586803759375</v>
      </c>
      <c r="CS17" s="416">
        <f>+CS12+CS13+CS15+CS16</f>
        <v>15347.12388211213</v>
      </c>
      <c r="CT17" s="416">
        <f>+CT12+CT13+CT15+CT16</f>
        <v>15051.11518303971</v>
      </c>
      <c r="CU17" s="416">
        <f>CU12+CU13+CU15+CU16</f>
        <v>14780.619206761114</v>
      </c>
      <c r="CV17" s="416">
        <f t="shared" ref="CV17:DA17" si="3">CV12+CV13+CV15+CV16</f>
        <v>14353.627336763771</v>
      </c>
      <c r="CW17" s="416">
        <f t="shared" si="3"/>
        <v>13909.541085381819</v>
      </c>
      <c r="CX17" s="425">
        <f t="shared" si="3"/>
        <v>13844.547013116706</v>
      </c>
      <c r="CY17" s="425">
        <f t="shared" si="3"/>
        <v>13799.141922844019</v>
      </c>
      <c r="CZ17" s="425">
        <f t="shared" si="3"/>
        <v>13841.236333198753</v>
      </c>
      <c r="DA17" s="457">
        <f t="shared" si="3"/>
        <v>13883.970004204029</v>
      </c>
      <c r="DB17" s="425">
        <f>DB12+DB13+DB15+DB16</f>
        <v>13904.835291955216</v>
      </c>
      <c r="DC17" s="425">
        <f>DC12+DC13+DC15+DC16</f>
        <v>13930.564874198733</v>
      </c>
      <c r="DD17" s="425">
        <f>DD12+DD13+DD15+DD16</f>
        <v>13929.640625960861</v>
      </c>
      <c r="DE17" s="425">
        <f>DE12+DE13+DE15+DE16</f>
        <v>13918.853538744941</v>
      </c>
      <c r="DF17" s="457">
        <f>DF12+DF13+DF15+DF16</f>
        <v>13956.456550247529</v>
      </c>
      <c r="DG17" s="425">
        <f t="shared" ref="DG17:DK17" si="4">DG12+DG13+DG15+DG16</f>
        <v>13938.254288082799</v>
      </c>
      <c r="DH17" s="425">
        <f t="shared" si="4"/>
        <v>13925.483241354526</v>
      </c>
      <c r="DI17" s="425">
        <f t="shared" si="4"/>
        <v>13969.950173960458</v>
      </c>
      <c r="DJ17" s="425">
        <f t="shared" si="4"/>
        <v>13919.344619042306</v>
      </c>
      <c r="DK17" s="457">
        <f t="shared" si="4"/>
        <v>13903.015438207785</v>
      </c>
      <c r="DL17" s="425"/>
      <c r="DM17" s="425">
        <f t="shared" ref="DM17:DP17" si="5">DM12+DM13+DM15+DM16</f>
        <v>13917.420514715517</v>
      </c>
      <c r="DN17" s="425">
        <f t="shared" si="5"/>
        <v>13889.668073658948</v>
      </c>
      <c r="DO17" s="425">
        <f t="shared" si="5"/>
        <v>13916.068945390663</v>
      </c>
      <c r="DP17" s="662">
        <f t="shared" si="5"/>
        <v>13865.102412173299</v>
      </c>
      <c r="DQ17" s="348" t="e">
        <f>DP17-#REF!</f>
        <v>#REF!</v>
      </c>
      <c r="DR17" s="744" t="e">
        <f>(+(DP17/#REF!-1))*100</f>
        <v>#REF!</v>
      </c>
      <c r="DS17" s="479"/>
      <c r="DT17" s="819"/>
      <c r="DU17" s="722"/>
      <c r="DV17" s="722"/>
      <c r="DW17" s="722"/>
      <c r="DX17" s="722"/>
    </row>
    <row r="18" spans="1:128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4">
        <v>38.200000000000003</v>
      </c>
      <c r="CV18" s="712">
        <v>26.2</v>
      </c>
      <c r="CW18" s="834">
        <v>6</v>
      </c>
      <c r="CX18" s="689">
        <v>0</v>
      </c>
      <c r="CY18" s="689">
        <v>0</v>
      </c>
      <c r="CZ18" s="689">
        <v>0</v>
      </c>
      <c r="DA18" s="895">
        <v>0</v>
      </c>
      <c r="DB18" s="689">
        <v>0</v>
      </c>
      <c r="DC18" s="689">
        <v>0</v>
      </c>
      <c r="DD18" s="689">
        <v>0</v>
      </c>
      <c r="DE18" s="689">
        <v>0</v>
      </c>
      <c r="DF18" s="895">
        <v>0</v>
      </c>
      <c r="DG18" s="689">
        <v>0</v>
      </c>
      <c r="DH18" s="689">
        <v>0</v>
      </c>
      <c r="DI18" s="689">
        <v>0</v>
      </c>
      <c r="DJ18" s="689">
        <v>0</v>
      </c>
      <c r="DK18" s="895">
        <v>0</v>
      </c>
      <c r="DL18" s="689"/>
      <c r="DM18" s="689">
        <v>0</v>
      </c>
      <c r="DN18" s="689">
        <v>0</v>
      </c>
      <c r="DO18" s="689">
        <v>0</v>
      </c>
      <c r="DP18" s="668">
        <v>0</v>
      </c>
      <c r="DQ18" s="679"/>
      <c r="DR18" s="842"/>
      <c r="DS18" s="479"/>
      <c r="DT18" s="819"/>
      <c r="DU18" s="722"/>
      <c r="DV18" s="722"/>
      <c r="DW18" s="722"/>
      <c r="DX18" s="722"/>
    </row>
    <row r="19" spans="1:128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4">
        <v>0</v>
      </c>
      <c r="CV19" s="712">
        <v>0</v>
      </c>
      <c r="CW19" s="834">
        <v>1</v>
      </c>
      <c r="CX19" s="689">
        <v>0</v>
      </c>
      <c r="CY19" s="689">
        <v>0</v>
      </c>
      <c r="CZ19" s="689">
        <v>0</v>
      </c>
      <c r="DA19" s="895">
        <v>0</v>
      </c>
      <c r="DB19" s="689">
        <v>0</v>
      </c>
      <c r="DC19" s="689">
        <v>0</v>
      </c>
      <c r="DD19" s="689">
        <v>0</v>
      </c>
      <c r="DE19" s="689">
        <v>0</v>
      </c>
      <c r="DF19" s="895">
        <v>0</v>
      </c>
      <c r="DG19" s="689">
        <v>0</v>
      </c>
      <c r="DH19" s="689">
        <v>0</v>
      </c>
      <c r="DI19" s="689">
        <v>0</v>
      </c>
      <c r="DJ19" s="689">
        <v>0</v>
      </c>
      <c r="DK19" s="895">
        <v>0</v>
      </c>
      <c r="DL19" s="689"/>
      <c r="DM19" s="689">
        <v>0</v>
      </c>
      <c r="DN19" s="689">
        <v>0</v>
      </c>
      <c r="DO19" s="689">
        <v>0</v>
      </c>
      <c r="DP19" s="668">
        <v>0</v>
      </c>
      <c r="DQ19" s="679"/>
      <c r="DR19" s="842"/>
      <c r="DS19" s="479"/>
      <c r="DT19" s="819"/>
      <c r="DU19" s="722"/>
      <c r="DV19" s="722"/>
      <c r="DW19" s="722"/>
      <c r="DX19" s="722"/>
    </row>
    <row r="20" spans="1:128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4">
        <v>0</v>
      </c>
      <c r="CV20" s="712">
        <v>0</v>
      </c>
      <c r="CW20" s="834">
        <v>0</v>
      </c>
      <c r="CX20" s="689">
        <v>0</v>
      </c>
      <c r="CY20" s="689">
        <v>0</v>
      </c>
      <c r="CZ20" s="689">
        <v>0</v>
      </c>
      <c r="DA20" s="895">
        <v>0</v>
      </c>
      <c r="DB20" s="689">
        <v>0</v>
      </c>
      <c r="DC20" s="689">
        <v>0</v>
      </c>
      <c r="DD20" s="689">
        <v>0</v>
      </c>
      <c r="DE20" s="689">
        <v>0</v>
      </c>
      <c r="DF20" s="895">
        <v>0</v>
      </c>
      <c r="DG20" s="689">
        <v>0</v>
      </c>
      <c r="DH20" s="689">
        <v>0</v>
      </c>
      <c r="DI20" s="689">
        <v>0</v>
      </c>
      <c r="DJ20" s="689">
        <v>0</v>
      </c>
      <c r="DK20" s="895">
        <v>0</v>
      </c>
      <c r="DL20" s="689"/>
      <c r="DM20" s="689">
        <v>0</v>
      </c>
      <c r="DN20" s="689">
        <v>0</v>
      </c>
      <c r="DO20" s="689">
        <v>0</v>
      </c>
      <c r="DP20" s="668">
        <v>0</v>
      </c>
      <c r="DQ20" s="679"/>
      <c r="DR20" s="842"/>
      <c r="DS20" s="479"/>
      <c r="DT20" s="819"/>
      <c r="DU20" s="722"/>
      <c r="DV20" s="722"/>
      <c r="DW20" s="722"/>
      <c r="DX20" s="722"/>
    </row>
    <row r="21" spans="1:128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4">
        <v>0</v>
      </c>
      <c r="CV21" s="712">
        <v>0</v>
      </c>
      <c r="CW21" s="834">
        <v>0</v>
      </c>
      <c r="CX21" s="689">
        <v>0</v>
      </c>
      <c r="CY21" s="689">
        <v>0</v>
      </c>
      <c r="CZ21" s="689">
        <v>0</v>
      </c>
      <c r="DA21" s="895">
        <v>0</v>
      </c>
      <c r="DB21" s="689">
        <v>0</v>
      </c>
      <c r="DC21" s="689">
        <v>0</v>
      </c>
      <c r="DD21" s="689">
        <v>0</v>
      </c>
      <c r="DE21" s="689">
        <v>0</v>
      </c>
      <c r="DF21" s="895">
        <v>0</v>
      </c>
      <c r="DG21" s="689">
        <v>0</v>
      </c>
      <c r="DH21" s="689">
        <v>0</v>
      </c>
      <c r="DI21" s="689">
        <v>0</v>
      </c>
      <c r="DJ21" s="689">
        <v>0</v>
      </c>
      <c r="DK21" s="895">
        <v>0</v>
      </c>
      <c r="DL21" s="689"/>
      <c r="DM21" s="689">
        <v>0</v>
      </c>
      <c r="DN21" s="689">
        <v>0</v>
      </c>
      <c r="DO21" s="689">
        <v>0</v>
      </c>
      <c r="DP21" s="668">
        <v>0</v>
      </c>
      <c r="DQ21" s="679"/>
      <c r="DR21" s="842"/>
      <c r="DS21" s="479"/>
      <c r="DT21" s="819"/>
      <c r="DU21" s="722"/>
      <c r="DV21" s="722"/>
      <c r="DW21" s="722"/>
      <c r="DX21" s="722"/>
    </row>
    <row r="22" spans="1:128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54</v>
      </c>
      <c r="CY22" s="686">
        <v>12</v>
      </c>
      <c r="CZ22" s="686">
        <v>1.5</v>
      </c>
      <c r="DA22" s="658">
        <v>10</v>
      </c>
      <c r="DB22" s="686">
        <v>8.6999999999999993</v>
      </c>
      <c r="DC22" s="686">
        <v>7</v>
      </c>
      <c r="DD22" s="686">
        <v>0</v>
      </c>
      <c r="DE22" s="686">
        <v>27.5</v>
      </c>
      <c r="DF22" s="658">
        <v>1</v>
      </c>
      <c r="DG22" s="686">
        <v>0</v>
      </c>
      <c r="DH22" s="686">
        <v>7</v>
      </c>
      <c r="DI22" s="686">
        <v>5</v>
      </c>
      <c r="DJ22" s="686">
        <v>2</v>
      </c>
      <c r="DK22" s="658">
        <v>1.5</v>
      </c>
      <c r="DL22" s="686"/>
      <c r="DM22" s="686">
        <v>7.2</v>
      </c>
      <c r="DN22" s="686">
        <v>5</v>
      </c>
      <c r="DO22" s="686">
        <v>5</v>
      </c>
      <c r="DP22" s="658">
        <v>7</v>
      </c>
      <c r="DQ22" s="679"/>
      <c r="DR22" s="842"/>
      <c r="DS22" s="479"/>
      <c r="DT22" s="819"/>
      <c r="DU22" s="722"/>
      <c r="DV22" s="722"/>
      <c r="DW22" s="722"/>
      <c r="DX22" s="722"/>
    </row>
    <row r="23" spans="1:128" x14ac:dyDescent="0.2">
      <c r="A23" s="206"/>
      <c r="B23" s="3"/>
      <c r="C23" s="65" t="s">
        <v>56</v>
      </c>
      <c r="D23" s="94"/>
      <c r="E23" s="106"/>
      <c r="F23" s="106" t="e">
        <f>+#REF!*6.97</f>
        <v>#REF!</v>
      </c>
      <c r="G23" s="106" t="e">
        <f>+#REF!*6.97</f>
        <v>#REF!</v>
      </c>
      <c r="H23" s="106" t="e">
        <f>+#REF!*6.97</f>
        <v>#REF!</v>
      </c>
      <c r="I23" s="106" t="e">
        <f>+#REF!*6.97</f>
        <v>#REF!</v>
      </c>
      <c r="J23" s="106">
        <f>48.3/28.7</f>
        <v>1.6829268292682926</v>
      </c>
      <c r="K23" s="106">
        <f>48.3/28.7</f>
        <v>1.6829268292682926</v>
      </c>
      <c r="L23" s="106">
        <f>48.3/28.7</f>
        <v>1.6829268292682926</v>
      </c>
      <c r="M23" s="143"/>
      <c r="N23" s="156"/>
      <c r="O23" s="106">
        <f>48.3/28.7</f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36"/>
      <c r="DB23" s="659"/>
      <c r="DC23" s="659"/>
      <c r="DD23" s="659"/>
      <c r="DE23" s="659"/>
      <c r="DF23" s="636"/>
      <c r="DG23" s="659"/>
      <c r="DH23" s="659"/>
      <c r="DI23" s="659"/>
      <c r="DJ23" s="659"/>
      <c r="DK23" s="636"/>
      <c r="DL23" s="659"/>
      <c r="DM23" s="659"/>
      <c r="DN23" s="659"/>
      <c r="DO23" s="659"/>
      <c r="DP23" s="636"/>
      <c r="DQ23" s="733"/>
      <c r="DR23" s="480" t="s">
        <v>3</v>
      </c>
      <c r="DS23" s="479"/>
      <c r="DT23" s="821"/>
    </row>
    <row r="24" spans="1:128" x14ac:dyDescent="0.2">
      <c r="A24" s="206"/>
      <c r="B24" s="906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f>+[20]MACRO!$H$445</f>
        <v>30157.232277248353</v>
      </c>
      <c r="V24" s="225">
        <f>+[21]MACRO!$H$445</f>
        <v>30403.324394647541</v>
      </c>
      <c r="W24" s="225">
        <f>+[22]MACRO!$H$447</f>
        <v>29903.289470033258</v>
      </c>
      <c r="X24" s="225">
        <f>+[23]MACRO!$H$447</f>
        <v>28898.70055204309</v>
      </c>
      <c r="Y24" s="225">
        <f>+[24]MACRO!$H$447</f>
        <v>28619.650201445958</v>
      </c>
      <c r="Z24" s="225">
        <f>+[25]MACRO!$H$450</f>
        <v>28656.14215422389</v>
      </c>
      <c r="AA24" s="225">
        <f>+[26]MACRO!$H$450</f>
        <v>28178.482855580798</v>
      </c>
      <c r="AB24" s="225">
        <f>+[27]MACRO!$H$450</f>
        <v>28789.856249272303</v>
      </c>
      <c r="AC24" s="225">
        <f>+[28]MACRO!$H$450</f>
        <v>32577.475381140739</v>
      </c>
      <c r="AD24" s="225">
        <f>+[29]MACRO!$H$450</f>
        <v>32958.579074453213</v>
      </c>
      <c r="AE24" s="225">
        <f>+[30]MACRO!$H$450</f>
        <v>32753.997521922407</v>
      </c>
      <c r="AF24" s="225">
        <f>+[31]MACRO!$H$458</f>
        <v>33318.498855925034</v>
      </c>
      <c r="AG24" s="225">
        <f>+[32]MACRO!$H$458</f>
        <v>30179.544053439462</v>
      </c>
      <c r="AH24" s="225">
        <f>+[33]MACRO!$H$458</f>
        <v>29387.94146173272</v>
      </c>
      <c r="AI24" s="225">
        <f>+[34]MACRO!$H$458</f>
        <v>31157.768917289424</v>
      </c>
      <c r="AJ24" s="225">
        <f>+[35]MACRO!$H$458</f>
        <v>31437.502481094012</v>
      </c>
      <c r="AK24" s="225">
        <f>+[36]MACRO!$H$460</f>
        <v>32635.139769102381</v>
      </c>
      <c r="AL24" s="225">
        <f>+[37]MACRO!$H$460</f>
        <v>34320.068200088397</v>
      </c>
      <c r="AM24" s="225">
        <f>+[38]MACRO!$H$460</f>
        <v>35375.422907394481</v>
      </c>
      <c r="AN24" s="225">
        <f>+[39]MACRO!$H$460</f>
        <v>37694.737930022849</v>
      </c>
      <c r="AO24" s="225">
        <f>+[40]MACRO!$H$460</f>
        <v>41768.10404689797</v>
      </c>
      <c r="AP24" s="225">
        <f>+[41]MACRO!$H$460</f>
        <v>39518.452970210099</v>
      </c>
      <c r="AQ24" s="225">
        <f>+[42]MACRO!$H$460</f>
        <v>39171.409393767935</v>
      </c>
      <c r="AR24" s="225">
        <f>+[43]MACRO!$H$460</f>
        <v>39703.293302109952</v>
      </c>
      <c r="AS24" s="225">
        <f>+[43]MACRO!$H$460</f>
        <v>39703.293302109952</v>
      </c>
      <c r="AT24" s="225">
        <f>+[44]MACRO!$H$460</f>
        <v>36725.834415524267</v>
      </c>
      <c r="AU24" s="330">
        <f>+[45]MACRO!$H$460</f>
        <v>37503.828244931763</v>
      </c>
      <c r="AV24" s="347">
        <f>+[46]MACRO!$H$460</f>
        <v>36976.145654643202</v>
      </c>
      <c r="AW24" s="225">
        <f>+[47]MACRO!$H$460</f>
        <v>37915.235268250122</v>
      </c>
      <c r="AX24" s="225">
        <f>+[48]MACRO!$H$460</f>
        <v>39808.812685307246</v>
      </c>
      <c r="AY24" s="225">
        <f>+[49]MACRO!$H$460</f>
        <v>39897.674000118262</v>
      </c>
      <c r="AZ24" s="225">
        <f>+[50]MACRO!$H$460</f>
        <v>42290.00662329363</v>
      </c>
      <c r="BA24" s="225">
        <f>+[51]MACRO!$H$460</f>
        <v>48670.600375916838</v>
      </c>
      <c r="BB24" s="225">
        <f>+[52]MACRO!$H$460</f>
        <v>45853.153171793674</v>
      </c>
      <c r="BC24" s="225">
        <f>+[53]MACRO!$H$460</f>
        <v>45106.01534060634</v>
      </c>
      <c r="BD24" s="225">
        <f>+[54]MACRO!$H$460</f>
        <v>43142.448600577838</v>
      </c>
      <c r="BE24" s="225">
        <f>+[55]MACRO!$H$460</f>
        <v>41892.660601382173</v>
      </c>
      <c r="BF24" s="225">
        <f>+[56]MACRO!$H$461</f>
        <v>41468.493126136476</v>
      </c>
      <c r="BG24" s="391">
        <f>+[57]MACRO!$H$462</f>
        <v>43314.165693718947</v>
      </c>
      <c r="BH24" s="391">
        <f>+[58]MACRO!$H$462</f>
        <v>42593.305946749912</v>
      </c>
      <c r="BI24" s="330">
        <f>+[59]MACRO!$H$462</f>
        <v>43705.429036464229</v>
      </c>
      <c r="BJ24" s="225">
        <f>+[60]MACRO!$H$465</f>
        <v>44527.373373869792</v>
      </c>
      <c r="BK24" s="225">
        <f>+[61]MACRO!$H$467</f>
        <v>45122.235544590403</v>
      </c>
      <c r="BL24" s="394">
        <f>+[62]MACRO!$H$467</f>
        <v>45309.288393787479</v>
      </c>
      <c r="BM24" s="225">
        <f>+[63]MACRO!$H$468</f>
        <v>53487.841091198701</v>
      </c>
      <c r="BN24" s="330">
        <f>+[64]MACRO!$H$468</f>
        <v>46502.025808538099</v>
      </c>
      <c r="BO24" s="330">
        <f>+[65]MACRO!$H$468</f>
        <v>44971.025892743819</v>
      </c>
      <c r="BP24" s="330">
        <f>+[66]MACRO!$H$468</f>
        <v>43583.380129660538</v>
      </c>
      <c r="BQ24" s="330">
        <f>+[67]MACRO!$H$468</f>
        <v>44933.133215966773</v>
      </c>
      <c r="BR24" s="330">
        <f>+[68]MACRO!$H$468</f>
        <v>44710.185835211887</v>
      </c>
      <c r="BS24" s="429">
        <f>+[69]MACRO!$H$470</f>
        <v>46248.208124989978</v>
      </c>
      <c r="BT24" s="330">
        <f>+[70]MACRO!$H$470</f>
        <v>45999.454656780101</v>
      </c>
      <c r="BU24" s="437">
        <f>+[71]MACRO!$H$470</f>
        <v>47132.791285223575</v>
      </c>
      <c r="BV24" s="437">
        <f>+[72]MACRO!$H$470</f>
        <v>48305.382136724707</v>
      </c>
      <c r="BW24" s="437">
        <f>+[73]MACRO!$H$470</f>
        <v>51843.43906314332</v>
      </c>
      <c r="BX24" s="437">
        <f>+[74]MACRO!$H$470</f>
        <v>52751.707843056443</v>
      </c>
      <c r="BY24" s="330">
        <f>+[75]MACRO!$H$470</f>
        <v>61256.800381815308</v>
      </c>
      <c r="BZ24" s="437">
        <f>+[76]MACRO!$H$470</f>
        <v>58118.611381419993</v>
      </c>
      <c r="CA24" s="437">
        <f>+[77]MACRO!$H$471</f>
        <v>56149.437725975207</v>
      </c>
      <c r="CB24" s="330">
        <f>+[78]MACRO!$H$472</f>
        <v>53168.353856128393</v>
      </c>
      <c r="CC24" s="437">
        <f>+[79]MACRO!$H$472</f>
        <v>52657.881866565527</v>
      </c>
      <c r="CD24" s="437">
        <f>+[80]MACRO!$H$472</f>
        <v>52892.309277199347</v>
      </c>
      <c r="CE24" s="330">
        <f>+[81]MACRO!$H$472</f>
        <v>55576.847906729046</v>
      </c>
      <c r="CF24" s="437">
        <f>+[82]MACRO!$H$472</f>
        <v>54704.039467584022</v>
      </c>
      <c r="CG24" s="330">
        <f>+[83]MACRO!$H$472</f>
        <v>54681.517672292954</v>
      </c>
      <c r="CH24" s="330">
        <f>+[84]MACRO!$H$472</f>
        <v>57953.789509191731</v>
      </c>
      <c r="CI24" s="330">
        <f>+[85]MACRO!$H$472</f>
        <v>60037.29318046612</v>
      </c>
      <c r="CJ24" s="330">
        <f>+[86]MACRO!$H$472</f>
        <v>61589.850563890606</v>
      </c>
      <c r="CK24" s="330">
        <f>+[87]MACRO!$H$473</f>
        <v>71566.553777586814</v>
      </c>
      <c r="CL24" s="657">
        <f>+[88]MACRO!$H$473</f>
        <v>66595.033799124838</v>
      </c>
      <c r="CM24" s="678">
        <f>+[89]MACRO!$H$473</f>
        <v>63175.544665872658</v>
      </c>
      <c r="CN24" s="678">
        <v>59674.575930174418</v>
      </c>
      <c r="CO24" s="678">
        <v>57933.897321517827</v>
      </c>
      <c r="CP24" s="710">
        <f>+[90]MACRO!$H$473</f>
        <v>58038.480422681801</v>
      </c>
      <c r="CQ24" s="710">
        <f>+[91]MACRO!$H$473</f>
        <v>57272.583604808242</v>
      </c>
      <c r="CR24" s="657">
        <f>+[92]MACRO!$H$473</f>
        <v>57778.740072339337</v>
      </c>
      <c r="CS24" s="710">
        <f>+[93]MACRO!$H$474</f>
        <v>57714.220391912349</v>
      </c>
      <c r="CT24" s="720">
        <v>58538.723864955493</v>
      </c>
      <c r="CU24" s="710">
        <f>[94]MACRO!$H$474</f>
        <v>58494.781795643517</v>
      </c>
      <c r="CV24" s="710">
        <f>[95]MACRO!$H$480</f>
        <v>57913.366447426932</v>
      </c>
      <c r="CW24" s="710">
        <f>[96]MACRO!$H$480</f>
        <v>63139.495371858182</v>
      </c>
      <c r="CX24" s="687">
        <f>[97]MACRO!$H$480</f>
        <v>62353.547795013816</v>
      </c>
      <c r="CY24" s="687">
        <f>[98]MACRO!$H$480</f>
        <v>62744.287166607159</v>
      </c>
      <c r="CZ24" s="687">
        <f>[99]MACRO!$H$480</f>
        <v>62749.78523151351</v>
      </c>
      <c r="DA24" s="720">
        <f>[100]MACRO!$H$480</f>
        <v>63499.322907737456</v>
      </c>
      <c r="DB24" s="687">
        <f>[101]MACRO!$H$480</f>
        <v>63315.628867626889</v>
      </c>
      <c r="DC24" s="687">
        <f>[102]MACRO!$H$480</f>
        <v>63417.070329622438</v>
      </c>
      <c r="DD24" s="687">
        <f>[103]MACRO!$H$480</f>
        <v>63578.748036054712</v>
      </c>
      <c r="DE24" s="687">
        <f>[104]MACRO!$H$480</f>
        <v>63356.280946903193</v>
      </c>
      <c r="DF24" s="720">
        <f>[105]MACRO!$H$480</f>
        <v>63371.138082487872</v>
      </c>
      <c r="DG24" s="687">
        <f>[106]MACRO!$H$480</f>
        <v>62833.407692988316</v>
      </c>
      <c r="DH24" s="687">
        <f>[107]MACRO!$H$480</f>
        <v>62240.339603334003</v>
      </c>
      <c r="DI24" s="687">
        <f>[108]MACRO!$H$480</f>
        <v>61761.32938961628</v>
      </c>
      <c r="DJ24" s="687">
        <f>[109]MACRO!$H$480</f>
        <v>61458.14127483395</v>
      </c>
      <c r="DK24" s="720">
        <f>[110]MACRO!$H$480</f>
        <v>60907.425662312431</v>
      </c>
      <c r="DL24" s="687"/>
      <c r="DM24" s="687">
        <f>[111]MACRO!$H$480</f>
        <v>60156.817970721357</v>
      </c>
      <c r="DN24" s="687">
        <f>[112]MACRO!$H$480</f>
        <v>59879.384587208035</v>
      </c>
      <c r="DO24" s="687">
        <f>[113]MACRO!$H$480</f>
        <v>60329.357324533514</v>
      </c>
      <c r="DP24" s="657">
        <f>[114]MACRO!$H$480</f>
        <v>59553.694279292584</v>
      </c>
      <c r="DQ24" s="348" t="e">
        <f>DP24-#REF!</f>
        <v>#REF!</v>
      </c>
      <c r="DR24" s="744" t="e">
        <f>(+(DP24/#REF!-1))*100</f>
        <v>#REF!</v>
      </c>
      <c r="DS24" s="479"/>
      <c r="DT24" s="729"/>
      <c r="DU24" s="271"/>
    </row>
    <row r="25" spans="1:128" x14ac:dyDescent="0.2">
      <c r="A25" s="206"/>
      <c r="B25" s="906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f>-[20]MACRO!$H$758</f>
        <v>18102.7542961</v>
      </c>
      <c r="V25" s="225">
        <f>-[21]MACRO!$H$758</f>
        <v>18598.362352259999</v>
      </c>
      <c r="W25" s="225">
        <f>-[22]MACRO!$H$760</f>
        <v>19111.73186009</v>
      </c>
      <c r="X25" s="225">
        <f>-[23]MACRO!$H$760</f>
        <v>19273.531734020002</v>
      </c>
      <c r="Y25" s="225">
        <f>-[24]MACRO!$H$760</f>
        <v>19243.647425389998</v>
      </c>
      <c r="Z25" s="225">
        <f>-[25]MACRO!$H$765</f>
        <v>19374.36654173</v>
      </c>
      <c r="AA25" s="225">
        <f>-[26]MACRO!$H$765</f>
        <v>19720.61379911</v>
      </c>
      <c r="AB25" s="225">
        <f>-[27]MACRO!$H$765</f>
        <v>20284.401278249999</v>
      </c>
      <c r="AC25" s="225">
        <f>-[28]MACRO!$H$765</f>
        <v>24585.622267570001</v>
      </c>
      <c r="AD25" s="225">
        <f>-[29]MACRO!$H$765</f>
        <v>23610.75446086</v>
      </c>
      <c r="AE25" s="225">
        <f>-[30]MACRO!$H$765</f>
        <v>23358.59828613</v>
      </c>
      <c r="AF25" s="225">
        <f>-[31]MACRO!$H$773</f>
        <v>23139.315299330003</v>
      </c>
      <c r="AG25" s="225">
        <f>-[32]MACRO!$H$773</f>
        <v>23402.080371930002</v>
      </c>
      <c r="AH25" s="225">
        <f>-[33]MACRO!$H$773</f>
        <v>23750.031313169999</v>
      </c>
      <c r="AI25" s="225">
        <f>-[34]MACRO!$H$773</f>
        <v>24643.468506500001</v>
      </c>
      <c r="AJ25" s="225">
        <f>-[35]MACRO!$H$773</f>
        <v>25057.120629689998</v>
      </c>
      <c r="AK25" s="225">
        <f>-[36]MACRO!$H$775</f>
        <v>25377.25269935</v>
      </c>
      <c r="AL25" s="225">
        <f>-[37]MACRO!$H$775</f>
        <v>25704.845640889998</v>
      </c>
      <c r="AM25" s="225">
        <f>-[38]MACRO!$H$775</f>
        <v>26070.208207840002</v>
      </c>
      <c r="AN25" s="225">
        <f>-[39]MACRO!$H$775</f>
        <v>26355.467033959998</v>
      </c>
      <c r="AO25" s="225">
        <f>-[40]MACRO!$H$775</f>
        <v>28585.08716164</v>
      </c>
      <c r="AP25" s="225">
        <f>-[41]MACRO!$H$775</f>
        <v>27904.261643500002</v>
      </c>
      <c r="AQ25" s="225">
        <f>-[42]MACRO!$H$775</f>
        <v>27651.922542569999</v>
      </c>
      <c r="AR25" s="225">
        <f>-[43]MACRO!$H$775</f>
        <v>27218.263037979999</v>
      </c>
      <c r="AS25" s="225">
        <f>-[43]MACRO!$H$775</f>
        <v>27218.263037979999</v>
      </c>
      <c r="AT25" s="225">
        <f>-[44]MACRO!$H$775</f>
        <v>27520.15649094</v>
      </c>
      <c r="AU25" s="330">
        <f>-[45]MACRO!$H$775</f>
        <v>28361.012891549999</v>
      </c>
      <c r="AV25" s="347">
        <f>-[46]MACRO!$H$775</f>
        <v>28505.503548820001</v>
      </c>
      <c r="AW25" s="225">
        <f>-[47]MACRO!$H$775</f>
        <v>28584.619925939998</v>
      </c>
      <c r="AX25" s="225">
        <f>-[48]MACRO!$H$775</f>
        <v>29033.313723990002</v>
      </c>
      <c r="AY25" s="225">
        <f>-[49]MACRO!$H$775</f>
        <v>29535.500998900003</v>
      </c>
      <c r="AZ25" s="225">
        <f>-[50]MACRO!$H$775</f>
        <v>30131.992337290001</v>
      </c>
      <c r="BA25" s="225">
        <f>-[51]MACRO!$H$775</f>
        <v>32665.086160450002</v>
      </c>
      <c r="BB25" s="225">
        <f>-[52]MACRO!$H$775</f>
        <v>31825.354411959997</v>
      </c>
      <c r="BC25" s="225">
        <f>-[53]MACRO!$H$775</f>
        <v>31105.858646380002</v>
      </c>
      <c r="BD25" s="225">
        <f>-[54]MACRO!$H$775</f>
        <v>30802.19048116</v>
      </c>
      <c r="BE25" s="225">
        <f>-[55]MACRO!$H$775</f>
        <v>30829.345512419997</v>
      </c>
      <c r="BF25" s="225">
        <f>-[56]MACRO!$H$776</f>
        <v>31213.30397026</v>
      </c>
      <c r="BG25" s="391">
        <f>-[57]MACRO!$H$778</f>
        <v>31641.167205549998</v>
      </c>
      <c r="BH25" s="391">
        <f>-[58]MACRO!$H$778</f>
        <v>31888.061633040001</v>
      </c>
      <c r="BI25" s="330">
        <f>-[59]MACRO!$H$778</f>
        <v>31958.471105610002</v>
      </c>
      <c r="BJ25" s="225">
        <f>-[60]MACRO!$H$785</f>
        <v>32333.088900520001</v>
      </c>
      <c r="BK25" s="225">
        <f>-[61]MACRO!$H$787</f>
        <v>32726.848775180002</v>
      </c>
      <c r="BL25" s="394">
        <f>-[62]MACRO!$H$787</f>
        <v>33376.52294907</v>
      </c>
      <c r="BM25" s="225">
        <f>-[63]MACRO!$H$788</f>
        <v>37001.012189349996</v>
      </c>
      <c r="BN25" s="330">
        <f>-[64]MACRO!$H$788</f>
        <v>35908.594242320003</v>
      </c>
      <c r="BO25" s="330">
        <f>-[65]MACRO!$H$788</f>
        <v>35170.474726610002</v>
      </c>
      <c r="BP25" s="330">
        <f>-[66]MACRO!$H$788</f>
        <v>34508.930251170001</v>
      </c>
      <c r="BQ25" s="330">
        <f>-[67]MACRO!$H$788</f>
        <v>34555.717835570002</v>
      </c>
      <c r="BR25" s="330">
        <f>-[68]MACRO!$H$788</f>
        <v>34634.109018330004</v>
      </c>
      <c r="BS25" s="429">
        <f>-[69]MACRO!$H$790</f>
        <v>35280.659298040002</v>
      </c>
      <c r="BT25" s="330">
        <f>-[70]MACRO!$H$790</f>
        <v>35344.692928870005</v>
      </c>
      <c r="BU25" s="437">
        <f>-[71]MACRO!$H$790</f>
        <v>35635.031122339999</v>
      </c>
      <c r="BV25" s="437">
        <f>-+[72]MACRO!$H$790</f>
        <v>36020.29927055</v>
      </c>
      <c r="BW25" s="437">
        <f>-+[73]MACRO!$H$790</f>
        <v>36636.916671539999</v>
      </c>
      <c r="BX25" s="437">
        <f>-+[74]MACRO!$H$790</f>
        <v>37663.86396078</v>
      </c>
      <c r="BY25" s="330">
        <f>-+[75]MACRO!$H$790</f>
        <v>41371.515351379996</v>
      </c>
      <c r="BZ25" s="437">
        <f>-+[76]MACRO!$H$790</f>
        <v>40506.033192499999</v>
      </c>
      <c r="CA25" s="437">
        <f>-+[77]MACRO!$H$793</f>
        <v>39262.991807869999</v>
      </c>
      <c r="CB25" s="330">
        <f>-+[78]MACRO!$H$794</f>
        <v>38283.96615778</v>
      </c>
      <c r="CC25" s="437">
        <f>-+[79]MACRO!$H$794</f>
        <v>37850.323657679997</v>
      </c>
      <c r="CD25" s="437">
        <f>-+[80]MACRO!$H$794</f>
        <v>38148.541673379994</v>
      </c>
      <c r="CE25" s="330">
        <f>-+[81]MACRO!$H$794</f>
        <v>38359.647042080003</v>
      </c>
      <c r="CF25" s="437">
        <f>-+[82]MACRO!$H$794</f>
        <v>38372.521949379996</v>
      </c>
      <c r="CG25" s="330">
        <f>-+[83]MACRO!$H$794</f>
        <v>38105.396707079999</v>
      </c>
      <c r="CH25" s="330">
        <f>-+[84]MACRO!$H$794</f>
        <v>37894.315809970001</v>
      </c>
      <c r="CI25" s="330">
        <f>-+[85]MACRO!$H$794</f>
        <v>38141.613873480004</v>
      </c>
      <c r="CJ25" s="330">
        <f>-+[86]MACRO!$H$794</f>
        <v>38648.379029690004</v>
      </c>
      <c r="CK25" s="330">
        <f>-+[87]MACRO!$H$795</f>
        <v>42923.038548690005</v>
      </c>
      <c r="CL25" s="657">
        <f>-(+[88]MACRO!$H$795)</f>
        <v>41389.473878190001</v>
      </c>
      <c r="CM25" s="678">
        <f>-+[89]MACRO!$H$795</f>
        <v>40258.307510389997</v>
      </c>
      <c r="CN25" s="678">
        <v>39151.185397690002</v>
      </c>
      <c r="CO25" s="678">
        <v>39269.468627790004</v>
      </c>
      <c r="CP25" s="710">
        <f>-[90]MACRO!$H$795</f>
        <v>39189.592521589999</v>
      </c>
      <c r="CQ25" s="710">
        <f>-[91]MACRO!$H$795</f>
        <v>39483.083052790003</v>
      </c>
      <c r="CR25" s="657">
        <f>-[92]MACRO!$H$795</f>
        <v>39461.471881789999</v>
      </c>
      <c r="CS25" s="710">
        <f>-[93]MACRO!$H$796</f>
        <v>39435.987517089998</v>
      </c>
      <c r="CT25" s="720">
        <v>39426.338544689999</v>
      </c>
      <c r="CU25" s="710">
        <f>-[94]MACRO!$H$796</f>
        <v>40028.206271989999</v>
      </c>
      <c r="CV25" s="710">
        <f>-[95]MACRO!$H$805</f>
        <v>40347.942489199995</v>
      </c>
      <c r="CW25" s="710">
        <f>-[96]MACRO!$H$805</f>
        <v>43144.7282987</v>
      </c>
      <c r="CX25" s="687">
        <f>-[97]MACRO!$H$805</f>
        <v>43375.1053207</v>
      </c>
      <c r="CY25" s="687">
        <f>-[98]MACRO!$H$805</f>
        <v>43630.271597899999</v>
      </c>
      <c r="CZ25" s="687">
        <f>-[99]MACRO!$H$805</f>
        <v>43551.972051800003</v>
      </c>
      <c r="DA25" s="720">
        <f>-[100]MACRO!$H$805</f>
        <v>43490.983175400004</v>
      </c>
      <c r="DB25" s="687">
        <f>-[101]MACRO!$H$805</f>
        <v>43598.164504400003</v>
      </c>
      <c r="DC25" s="687">
        <f>-[102]MACRO!$H$805</f>
        <v>43608.004001199995</v>
      </c>
      <c r="DD25" s="687">
        <f>-[103]MACRO!$H$805</f>
        <v>43473.026568599998</v>
      </c>
      <c r="DE25" s="687">
        <f>-[104]MACRO!$H$805</f>
        <v>43440.5312538</v>
      </c>
      <c r="DF25" s="720">
        <f>-[105]MACRO!$H$805</f>
        <v>43340.247886699995</v>
      </c>
      <c r="DG25" s="687">
        <f>-[106]MACRO!$H$805</f>
        <v>43272.080110000003</v>
      </c>
      <c r="DH25" s="687">
        <f>-[107]MACRO!$H$805</f>
        <v>43160.222811800006</v>
      </c>
      <c r="DI25" s="687">
        <f>-[108]MACRO!$H$805</f>
        <v>43038.759348500003</v>
      </c>
      <c r="DJ25" s="687">
        <f>-[109]MACRO!$H$805</f>
        <v>43007.6490022</v>
      </c>
      <c r="DK25" s="720">
        <f>-[110]MACRO!$H$805</f>
        <v>42909.588386199997</v>
      </c>
      <c r="DL25" s="687"/>
      <c r="DM25" s="687">
        <f>-[111]MACRO!$H$805</f>
        <v>42797.0556077</v>
      </c>
      <c r="DN25" s="687">
        <f>-[112]MACRO!$H$805</f>
        <v>42699.403890900001</v>
      </c>
      <c r="DO25" s="687">
        <f>-[113]MACRO!$H$805</f>
        <v>42581.595542300005</v>
      </c>
      <c r="DP25" s="657">
        <f>-[114]MACRO!$H$805</f>
        <v>42447.328319599997</v>
      </c>
      <c r="DQ25" s="348" t="e">
        <f>DP25-#REF!</f>
        <v>#REF!</v>
      </c>
      <c r="DR25" s="744" t="e">
        <f>(+(DP25/#REF!-1))*100</f>
        <v>#REF!</v>
      </c>
      <c r="DS25" s="479"/>
      <c r="DT25" s="729"/>
      <c r="DU25" s="271"/>
    </row>
    <row r="26" spans="1:128" x14ac:dyDescent="0.2">
      <c r="A26" s="206"/>
      <c r="B26" s="906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f>+[20]MACRO!$H$475</f>
        <v>-40725.721875145755</v>
      </c>
      <c r="V26" s="225">
        <f>+[21]MACRO!$H$475</f>
        <v>-40337.81012964726</v>
      </c>
      <c r="W26" s="225">
        <f>+[22]MACRO!$H$477</f>
        <v>-40393.376146655639</v>
      </c>
      <c r="X26" s="225">
        <f>+[23]MACRO!$H$477</f>
        <v>-40786.054479408231</v>
      </c>
      <c r="Y26" s="225">
        <f>+[24]MACRO!$H$477</f>
        <v>-41654.468781513388</v>
      </c>
      <c r="Z26" s="225">
        <f>+[25]MACRO!$H$480</f>
        <v>-43763.135008598176</v>
      </c>
      <c r="AA26" s="225">
        <f>+[26]MACRO!$H$480</f>
        <v>-44456.948586455765</v>
      </c>
      <c r="AB26" s="225">
        <f>+[27]MACRO!$H$480</f>
        <v>-44259.691304114895</v>
      </c>
      <c r="AC26" s="225">
        <f>+[28]MACRO!$H$480</f>
        <v>-42938.181556930314</v>
      </c>
      <c r="AD26" s="225">
        <f>+[29]MACRO!$H$480</f>
        <v>-45901.140750460218</v>
      </c>
      <c r="AE26" s="225">
        <f>+[30]MACRO!$H$480</f>
        <v>-48312.242030117974</v>
      </c>
      <c r="AF26" s="225">
        <f>+[31]MACRO!$H$488</f>
        <v>-49213.248066820343</v>
      </c>
      <c r="AG26" s="225">
        <f>+[32]MACRO!$H$488</f>
        <v>-50678.862959427162</v>
      </c>
      <c r="AH26" s="225">
        <f>+[33]MACRO!$H$488</f>
        <v>-49812.623303278691</v>
      </c>
      <c r="AI26" s="225">
        <f>+[34]MACRO!$H$488</f>
        <v>-49325.781787705811</v>
      </c>
      <c r="AJ26" s="225">
        <f>+[35]MACRO!$H$488</f>
        <v>-50765.833533730947</v>
      </c>
      <c r="AK26" s="225">
        <f>+[36]MACRO!$H$490</f>
        <v>-54535.029617007371</v>
      </c>
      <c r="AL26" s="225">
        <f>+[37]MACRO!$H$490</f>
        <v>-52669.107745117784</v>
      </c>
      <c r="AM26" s="225">
        <f>+[38]MACRO!$H$490</f>
        <v>-55701.044226470614</v>
      </c>
      <c r="AN26" s="225">
        <f>+[39]MACRO!$H$490</f>
        <v>-56751.641763571315</v>
      </c>
      <c r="AO26" s="225">
        <f>+[40]MACRO!$H$490</f>
        <v>-53862.153016766635</v>
      </c>
      <c r="AP26" s="225">
        <f>+[41]MACRO!$H$490</f>
        <v>-57769.8499961743</v>
      </c>
      <c r="AQ26" s="225">
        <f>+[42]MACRO!$H$490</f>
        <v>-59738.430211019026</v>
      </c>
      <c r="AR26" s="225">
        <f>+[43]MACRO!$H$490</f>
        <v>-60223.761023498584</v>
      </c>
      <c r="AS26" s="225">
        <f>+[43]MACRO!$H$490</f>
        <v>-60223.761023498584</v>
      </c>
      <c r="AT26" s="225">
        <f>+[44]MACRO!$H$490</f>
        <v>-57693.920501219334</v>
      </c>
      <c r="AU26" s="330">
        <f>+[45]MACRO!$H$490</f>
        <v>-56975.733137620555</v>
      </c>
      <c r="AV26" s="347">
        <f>+[46]MACRO!$H$490</f>
        <v>-58945.687472738617</v>
      </c>
      <c r="AW26" s="225">
        <f>+[47]MACRO!$H$490</f>
        <v>-61032.358741471253</v>
      </c>
      <c r="AX26" s="225">
        <f>+[48]MACRO!$H$490</f>
        <v>-63022.789226928377</v>
      </c>
      <c r="AY26" s="225">
        <f>+[49]MACRO!$H$490</f>
        <v>-64938.716468228835</v>
      </c>
      <c r="AZ26" s="225">
        <f>+[50]MACRO!$H$490</f>
        <v>-65398.945782221133</v>
      </c>
      <c r="BA26" s="225">
        <f>+[51]MACRO!$H$490</f>
        <v>-62872.216313078694</v>
      </c>
      <c r="BB26" s="225">
        <f>+[52]MACRO!$H$490</f>
        <v>-64550.757844114705</v>
      </c>
      <c r="BC26" s="225">
        <f>+[53]MACRO!$H$490</f>
        <v>-65624.384177470201</v>
      </c>
      <c r="BD26" s="225">
        <f>+[54]MACRO!$H$490</f>
        <v>-66525.27326386956</v>
      </c>
      <c r="BE26" s="225">
        <f>+[55]MACRO!$H$490</f>
        <v>-66625.615153915016</v>
      </c>
      <c r="BF26" s="225">
        <f>+[56]MACRO!$H$491</f>
        <v>-64879.032880982537</v>
      </c>
      <c r="BG26" s="391">
        <f>+[57]MACRO!$H$492</f>
        <v>-64067.514772103619</v>
      </c>
      <c r="BH26" s="391">
        <f>+[58]MACRO!$H$492</f>
        <v>-66282.880942301694</v>
      </c>
      <c r="BI26" s="330">
        <f>+[59]MACRO!$H$492</f>
        <v>-66834.390144024423</v>
      </c>
      <c r="BJ26" s="225">
        <f>+[60]MACRO!$H$495</f>
        <v>-67257.32114892808</v>
      </c>
      <c r="BK26" s="225">
        <f>+[61]MACRO!$H$497</f>
        <v>-65027.991334582759</v>
      </c>
      <c r="BL26" s="394">
        <f>+[62]MACRO!$H$497</f>
        <v>-64228.712436513662</v>
      </c>
      <c r="BM26" s="225">
        <f>+[63]MACRO!$H$498</f>
        <v>-61989.77955595086</v>
      </c>
      <c r="BN26" s="330">
        <f>+[64]MACRO!$H$498</f>
        <v>-63694.572215758635</v>
      </c>
      <c r="BO26" s="330">
        <f>+[65]MACRO!$H$498</f>
        <v>-64695.313957981081</v>
      </c>
      <c r="BP26" s="330">
        <f>+[66]MACRO!$H$498</f>
        <v>-64896.284958885997</v>
      </c>
      <c r="BQ26" s="330">
        <f>+[67]MACRO!$H$498</f>
        <v>-65140.840120823574</v>
      </c>
      <c r="BR26" s="330">
        <f>+[68]MACRO!$H$498</f>
        <v>-65115.007822482745</v>
      </c>
      <c r="BS26" s="429">
        <f>+[69]MACRO!$H$500</f>
        <v>-66308.059794521148</v>
      </c>
      <c r="BT26" s="330">
        <f>+[70]MACRO!$H$500</f>
        <v>-66686.713396128602</v>
      </c>
      <c r="BU26" s="437">
        <f>+[71]MACRO!$H$500</f>
        <v>-69975.856252409969</v>
      </c>
      <c r="BV26" s="437">
        <f>++[72]MACRO!$H$500</f>
        <v>-68744.612766179111</v>
      </c>
      <c r="BW26" s="437">
        <f>++[73]MACRO!$H$500</f>
        <v>-68916.057885444578</v>
      </c>
      <c r="BX26" s="437">
        <f>++[74]MACRO!$H$500</f>
        <v>-68511.081671989712</v>
      </c>
      <c r="BY26" s="330">
        <f>++[75]MACRO!$H$500</f>
        <v>-62371.181571876186</v>
      </c>
      <c r="BZ26" s="437">
        <f>++[76]MACRO!$H$500</f>
        <v>-62991.898781180244</v>
      </c>
      <c r="CA26" s="437">
        <f>++[77]MACRO!$H$501</f>
        <v>-64621.504459789583</v>
      </c>
      <c r="CB26" s="330">
        <f>++[78]MACRO!$H$502</f>
        <v>-64393.307691634778</v>
      </c>
      <c r="CC26" s="437">
        <f>++[79]MACRO!$H$502</f>
        <v>-63958.757084868026</v>
      </c>
      <c r="CD26" s="437">
        <f>++[80]MACRO!$H$502</f>
        <v>-62334.519483329743</v>
      </c>
      <c r="CE26" s="330">
        <f>++[81]MACRO!$H$502</f>
        <v>-62536.810570389527</v>
      </c>
      <c r="CF26" s="437">
        <f>++[82]MACRO!$H$502</f>
        <v>-61001.96543023803</v>
      </c>
      <c r="CG26" s="330">
        <f>++[83]MACRO!$H$502</f>
        <v>-60353.853098806503</v>
      </c>
      <c r="CH26" s="330">
        <f>++[84]MACRO!$H$502</f>
        <v>-59701.351525934311</v>
      </c>
      <c r="CI26" s="330">
        <f>++[85]MACRO!$H$502</f>
        <v>-57673.077465773837</v>
      </c>
      <c r="CJ26" s="330">
        <f>++[86]MACRO!$H$502</f>
        <v>-54156.628833257717</v>
      </c>
      <c r="CK26" s="330">
        <f>++[87]MACRO!$H$503</f>
        <v>-46640.435887305335</v>
      </c>
      <c r="CL26" s="657">
        <f>+[88]MACRO!$H$503</f>
        <v>-46544.133787802115</v>
      </c>
      <c r="CM26" s="678">
        <f>++[89]MACRO!$H$503</f>
        <v>-47463.14076422833</v>
      </c>
      <c r="CN26" s="678">
        <v>-46480.539488136805</v>
      </c>
      <c r="CO26" s="678">
        <v>-44650.567615949723</v>
      </c>
      <c r="CP26" s="710">
        <f>[90]MACRO!$H$503</f>
        <v>-41245.249449274765</v>
      </c>
      <c r="CQ26" s="710">
        <f>[91]MACRO!$H$503</f>
        <v>-40154.577328311425</v>
      </c>
      <c r="CR26" s="657">
        <f>[92]MACRO!$H$503</f>
        <v>-39770.96991646169</v>
      </c>
      <c r="CS26" s="710">
        <f>[93]MACRO!$H$504</f>
        <v>-37797.531212909278</v>
      </c>
      <c r="CT26" s="720">
        <v>-36299.992402893055</v>
      </c>
      <c r="CU26" s="710">
        <f>[94]MACRO!$H$504</f>
        <v>-33334.603343671748</v>
      </c>
      <c r="CV26" s="710">
        <f>[95]MACRO!$H$510</f>
        <v>-30674.418702325333</v>
      </c>
      <c r="CW26" s="710">
        <f>[96]MACRO!$H$510</f>
        <v>-26010.657909970621</v>
      </c>
      <c r="CX26" s="687">
        <f>[97]MACRO!$H$510</f>
        <v>-24976.207305759777</v>
      </c>
      <c r="CY26" s="687">
        <f>[98]MACRO!$H$510</f>
        <v>-24530.034912606276</v>
      </c>
      <c r="CZ26" s="687">
        <f>[99]MACRO!$H$510</f>
        <v>-24702.599010927064</v>
      </c>
      <c r="DA26" s="720">
        <f>[100]MACRO!$H$510</f>
        <v>-24975.082607351047</v>
      </c>
      <c r="DB26" s="687">
        <f>[101]MACRO!$H$510</f>
        <v>-25012.680304797825</v>
      </c>
      <c r="DC26" s="687">
        <f>[102]MACRO!$H$510</f>
        <v>-25112.938250259373</v>
      </c>
      <c r="DD26" s="687">
        <f>[103]MACRO!$H$510</f>
        <v>-25293.154309783957</v>
      </c>
      <c r="DE26" s="687">
        <f>[104]MACRO!$H$510</f>
        <v>-25143.74414618835</v>
      </c>
      <c r="DF26" s="720">
        <f>[105]MACRO!$H$510</f>
        <v>-25596.566842516353</v>
      </c>
      <c r="DG26" s="687">
        <f>[106]MACRO!$H$510</f>
        <v>-25647.602792659331</v>
      </c>
      <c r="DH26" s="687">
        <f>[107]MACRO!$H$510</f>
        <v>-25519.501923141328</v>
      </c>
      <c r="DI26" s="687">
        <f>[108]MACRO!$H$510</f>
        <v>-25862.320393936301</v>
      </c>
      <c r="DJ26" s="687">
        <f>[109]MACRO!$H$510</f>
        <v>-25681.824793350854</v>
      </c>
      <c r="DK26" s="720">
        <f>[110]MACRO!$H$510</f>
        <v>-25639.915965171826</v>
      </c>
      <c r="DL26" s="687"/>
      <c r="DM26" s="687">
        <f>[111]MACRO!$H$510</f>
        <v>-25873.743669292493</v>
      </c>
      <c r="DN26" s="687">
        <f>[112]MACRO!$H$510</f>
        <v>-25887.019593567045</v>
      </c>
      <c r="DO26" s="687">
        <f>[113]MACRO!$H$510</f>
        <v>-25786.605880008454</v>
      </c>
      <c r="DP26" s="657">
        <f>[114]MACRO!$H$510</f>
        <v>-25645.582070873475</v>
      </c>
      <c r="DQ26" s="348" t="e">
        <f>DP26-#REF!</f>
        <v>#REF!</v>
      </c>
      <c r="DR26" s="744" t="e">
        <f>(+(DP26/#REF!-1))*100</f>
        <v>#REF!</v>
      </c>
      <c r="DS26" s="479"/>
      <c r="DT26" s="729"/>
      <c r="DU26" s="271"/>
    </row>
    <row r="27" spans="1:128" x14ac:dyDescent="0.2">
      <c r="A27" s="206"/>
      <c r="B27" s="906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f>+[20]MACRO!$H$477</f>
        <v>-14535.737468911831</v>
      </c>
      <c r="V27" s="225">
        <f>+[21]MACRO!$H$477</f>
        <v>-14921.374404462185</v>
      </c>
      <c r="W27" s="225">
        <f>+[22]MACRO!$H$479</f>
        <v>-16051.877890473672</v>
      </c>
      <c r="X27" s="225">
        <f>+[23]MACRO!$H$479</f>
        <v>-17451.955823853175</v>
      </c>
      <c r="Y27" s="225">
        <f>+[24]MACRO!$H$479</f>
        <v>-18695.844246511424</v>
      </c>
      <c r="Z27" s="225">
        <f>+[25]MACRO!$H$482</f>
        <v>-19622.556781357227</v>
      </c>
      <c r="AA27" s="225">
        <f>+[26]MACRO!$H$482</f>
        <v>-20206.230807064483</v>
      </c>
      <c r="AB27" s="225">
        <f>+[27]MACRO!$H$482</f>
        <v>-20380.590815921831</v>
      </c>
      <c r="AC27" s="225">
        <f>+[28]MACRO!$H$482</f>
        <v>-19033.717018390915</v>
      </c>
      <c r="AD27" s="225">
        <f>+[29]MACRO!$H$482</f>
        <v>-20395.683250635</v>
      </c>
      <c r="AE27" s="225">
        <f>+[30]MACRO!$H$482</f>
        <v>-21398.482908853341</v>
      </c>
      <c r="AF27" s="225">
        <f>+[31]MACRO!$H$490</f>
        <v>-20515.376437737094</v>
      </c>
      <c r="AG27" s="225">
        <f>+[32]MACRO!$H$490</f>
        <v>-22720.668638767067</v>
      </c>
      <c r="AH27" s="225">
        <f>+[33]MACRO!$H$490</f>
        <v>-24039.985288323489</v>
      </c>
      <c r="AI27" s="225">
        <f>+[34]MACRO!$H$490</f>
        <v>-23153.205909382435</v>
      </c>
      <c r="AJ27" s="225">
        <f>+[35]MACRO!$H$490</f>
        <v>-24583.659881486485</v>
      </c>
      <c r="AK27" s="225">
        <f>+[36]MACRO!$H$492</f>
        <v>-25793.166578529057</v>
      </c>
      <c r="AL27" s="225">
        <f>+[37]MACRO!$H$492</f>
        <v>-26182.201187179729</v>
      </c>
      <c r="AM27" s="225">
        <f>+[38]MACRO!$H$492</f>
        <v>-26496.70745701719</v>
      </c>
      <c r="AN27" s="225">
        <f>+[39]MACRO!$H$492</f>
        <v>-25953.885438716748</v>
      </c>
      <c r="AO27" s="225">
        <f>+[40]MACRO!$H$492</f>
        <v>-23173.066224700859</v>
      </c>
      <c r="AP27" s="225">
        <f>+[41]MACRO!$H$492</f>
        <v>-26541.033333331314</v>
      </c>
      <c r="AQ27" s="225">
        <f>+[42]MACRO!$H$492</f>
        <v>-27446.881256662626</v>
      </c>
      <c r="AR27" s="225">
        <f>+[43]MACRO!$H$492</f>
        <v>-27543.760398590322</v>
      </c>
      <c r="AS27" s="225">
        <f>+[43]MACRO!$H$492</f>
        <v>-27543.760398590322</v>
      </c>
      <c r="AT27" s="225">
        <f>+[44]MACRO!$H$492</f>
        <v>-29605.296675278201</v>
      </c>
      <c r="AU27" s="330">
        <f>+[45]MACRO!$H$492</f>
        <v>-29131.072663441082</v>
      </c>
      <c r="AV27" s="347">
        <f>+[46]MACRO!$H$492</f>
        <v>-31072.632851696399</v>
      </c>
      <c r="AW27" s="225">
        <f>+[47]MACRO!$H$492</f>
        <v>-32641.457819049901</v>
      </c>
      <c r="AX27" s="225">
        <f>+[48]MACRO!$H$492</f>
        <v>-31624.133640066389</v>
      </c>
      <c r="AY27" s="225">
        <f>+[49]MACRO!$H$492</f>
        <v>-35032.5816729574</v>
      </c>
      <c r="AZ27" s="225">
        <f>+[50]MACRO!$H$492</f>
        <v>-34484.140394999115</v>
      </c>
      <c r="BA27" s="225">
        <f>+[51]MACRO!$H$492</f>
        <v>-29315.840023017481</v>
      </c>
      <c r="BB27" s="225">
        <f>+[52]MACRO!$H$492</f>
        <v>-31541.942415822032</v>
      </c>
      <c r="BC27" s="225">
        <f>+[53]MACRO!$H$492</f>
        <v>-33255.567901084709</v>
      </c>
      <c r="BD27" s="225">
        <f>+[54]MACRO!$H$492</f>
        <v>-34246.472273750573</v>
      </c>
      <c r="BE27" s="225">
        <f>+[55]MACRO!$H$492</f>
        <v>-36347.891468227179</v>
      </c>
      <c r="BF27" s="225">
        <f>+[56]MACRO!$H$493</f>
        <v>-36985.8815015625</v>
      </c>
      <c r="BG27" s="391">
        <f>+[57]MACRO!$H$494</f>
        <v>-35653.62847587213</v>
      </c>
      <c r="BH27" s="391">
        <f>+[58]MACRO!$H$494</f>
        <v>-37909.190004581549</v>
      </c>
      <c r="BI27" s="330">
        <f>+[59]MACRO!$H$494</f>
        <v>-41299.918654736801</v>
      </c>
      <c r="BJ27" s="225">
        <f>+[60]MACRO!$H$497</f>
        <v>-41345.434098601705</v>
      </c>
      <c r="BK27" s="225">
        <f>+[61]MACRO!$H$499</f>
        <v>-41671.917323780086</v>
      </c>
      <c r="BL27" s="394">
        <f>+[62]MACRO!$H$499</f>
        <v>-41205.002824314797</v>
      </c>
      <c r="BM27" s="225">
        <f>+[63]MACRO!$H$500</f>
        <v>-33813.097812691674</v>
      </c>
      <c r="BN27" s="330">
        <f>+[64]MACRO!$H$500</f>
        <v>-35379.873657794473</v>
      </c>
      <c r="BO27" s="330">
        <f>+[65]MACRO!$H$500</f>
        <v>-35909.120431382136</v>
      </c>
      <c r="BP27" s="330">
        <f>+[66]MACRO!$H$500</f>
        <v>-37354.259685190009</v>
      </c>
      <c r="BQ27" s="330">
        <f>+[67]MACRO!$H$500</f>
        <v>-38644.746607878733</v>
      </c>
      <c r="BR27" s="330">
        <f>+[68]MACRO!$H$500</f>
        <v>-39922.86813474472</v>
      </c>
      <c r="BS27" s="429">
        <f>+[69]MACRO!$H$502</f>
        <v>-39064.965928607722</v>
      </c>
      <c r="BT27" s="330">
        <f>+[70]MACRO!$H$502</f>
        <v>-41939.025653690995</v>
      </c>
      <c r="BU27" s="437">
        <f>+[71]MACRO!$H$502</f>
        <v>-44207.526102950054</v>
      </c>
      <c r="BV27" s="437">
        <f>++[72]MACRO!$H$502</f>
        <v>-42349.181198990605</v>
      </c>
      <c r="BW27" s="437">
        <f>++[73]MACRO!$H$502</f>
        <v>-40838.065709731833</v>
      </c>
      <c r="BX27" s="437">
        <f>++[74]MACRO!$H$502</f>
        <v>-40093.649966347883</v>
      </c>
      <c r="BY27" s="330">
        <f>++[75]MACRO!$H$502</f>
        <v>-29328.915759721393</v>
      </c>
      <c r="BZ27" s="437">
        <f>++[76]MACRO!$H$502</f>
        <v>-31461.852360015266</v>
      </c>
      <c r="CA27" s="437">
        <f>++[77]MACRO!$H$503</f>
        <v>-31891.980872479322</v>
      </c>
      <c r="CB27" s="330">
        <f>++[78]MACRO!$H$504</f>
        <v>-31100.461763368094</v>
      </c>
      <c r="CC27" s="437">
        <f>++[79]MACRO!$H$504</f>
        <v>-33126.363105549004</v>
      </c>
      <c r="CD27" s="437">
        <f>++[80]MACRO!$H$504</f>
        <v>-31763.446206964381</v>
      </c>
      <c r="CE27" s="330">
        <f>++[81]MACRO!$H$504</f>
        <v>-31746.886380987838</v>
      </c>
      <c r="CF27" s="437">
        <f>++[82]MACRO!$H$504</f>
        <v>-33903.953379198727</v>
      </c>
      <c r="CG27" s="330">
        <f>++[83]MACRO!$H$504</f>
        <v>-34604.179077711262</v>
      </c>
      <c r="CH27" s="330">
        <f>++[84]MACRO!$H$504</f>
        <v>-33442.229593978205</v>
      </c>
      <c r="CI27" s="330">
        <f>++[85]MACRO!$H$504</f>
        <v>-31437.801849881685</v>
      </c>
      <c r="CJ27" s="330">
        <f>++[86]MACRO!$H$504</f>
        <v>-29994.733169060746</v>
      </c>
      <c r="CK27" s="330">
        <f>++[87]MACRO!$H$505</f>
        <v>-15862.082772082074</v>
      </c>
      <c r="CL27" s="657">
        <f>+[88]MACRO!$H$505</f>
        <v>-20011.825010876411</v>
      </c>
      <c r="CM27" s="678">
        <f>++[89]MACRO!$H$505</f>
        <v>-20263.734654778789</v>
      </c>
      <c r="CN27" s="678">
        <v>-19957.445178932117</v>
      </c>
      <c r="CO27" s="678">
        <v>-19968.056496929788</v>
      </c>
      <c r="CP27" s="710">
        <f>+[90]MACRO!$H$505</f>
        <v>-18301.957266816651</v>
      </c>
      <c r="CQ27" s="710">
        <f>+[91]MACRO!$H$505</f>
        <v>-16747.772520208971</v>
      </c>
      <c r="CR27" s="657">
        <f>+[92]MACRO!$H$505</f>
        <v>-18024.699476287533</v>
      </c>
      <c r="CS27" s="710">
        <f>+[93]MACRO!$H$506</f>
        <v>-16663.921395537138</v>
      </c>
      <c r="CT27" s="720">
        <v>-15085.995156880133</v>
      </c>
      <c r="CU27" s="710">
        <f>[94]MACRO!$H$506</f>
        <v>-13282.205899796347</v>
      </c>
      <c r="CV27" s="710">
        <f>[95]MACRO!$H$512</f>
        <v>-11924.63224701061</v>
      </c>
      <c r="CW27" s="710">
        <f>[96]MACRO!$H$512</f>
        <v>-5321.267392375471</v>
      </c>
      <c r="CX27" s="687">
        <f>[97]MACRO!$H$512</f>
        <v>-5013.4802870723952</v>
      </c>
      <c r="CY27" s="687">
        <f>[98]MACRO!$H$512</f>
        <v>-4365.9196884204712</v>
      </c>
      <c r="CZ27" s="687">
        <f>[99]MACRO!$H$512</f>
        <v>-4326.8854098586398</v>
      </c>
      <c r="DA27" s="720">
        <f>[100]MACRO!$H$512</f>
        <v>-3357.492227298198</v>
      </c>
      <c r="DB27" s="687">
        <f>[101]MACRO!$H$512</f>
        <v>-3741.3227716747128</v>
      </c>
      <c r="DC27" s="687">
        <f>[102]MACRO!$H$512</f>
        <v>-3502.628179189081</v>
      </c>
      <c r="DD27" s="687">
        <f>[103]MACRO!$H$512</f>
        <v>-3446.3400885196875</v>
      </c>
      <c r="DE27" s="687">
        <f>[104]MACRO!$H$512</f>
        <v>-3411.0864257801018</v>
      </c>
      <c r="DF27" s="720">
        <f>[105]MACRO!$H$512</f>
        <v>-3570.0975619361193</v>
      </c>
      <c r="DG27" s="687">
        <f>[106]MACRO!$H$512</f>
        <v>-3862.5848238195499</v>
      </c>
      <c r="DH27" s="687">
        <f>[107]MACRO!$H$512</f>
        <v>-4398.0662940665643</v>
      </c>
      <c r="DI27" s="687">
        <f>[108]MACRO!$H$512</f>
        <v>-4820.7415769127792</v>
      </c>
      <c r="DJ27" s="687">
        <f>[109]MACRO!$H$512</f>
        <v>-5019.2083262031838</v>
      </c>
      <c r="DK27" s="720">
        <f>[110]MACRO!$H$512</f>
        <v>-5207.7850066482079</v>
      </c>
      <c r="DL27" s="687"/>
      <c r="DM27" s="687">
        <f>[111]MACRO!$H$512</f>
        <v>-5926.4643700068618</v>
      </c>
      <c r="DN27" s="687">
        <f>[112]MACRO!$H$512</f>
        <v>-6183.8832891986622</v>
      </c>
      <c r="DO27" s="687">
        <f>[113]MACRO!$H$512</f>
        <v>-5624.8435617602718</v>
      </c>
      <c r="DP27" s="657">
        <f>[114]MACRO!$H$512</f>
        <v>-6046.3594378068847</v>
      </c>
      <c r="DQ27" s="348" t="e">
        <f>DP27-#REF!</f>
        <v>#REF!</v>
      </c>
      <c r="DR27" s="744" t="e">
        <f>(+(DP27/#REF!-1))*100</f>
        <v>#REF!</v>
      </c>
      <c r="DS27" s="479"/>
      <c r="DT27" s="729"/>
      <c r="DU27" s="271"/>
    </row>
    <row r="28" spans="1:128" x14ac:dyDescent="0.2">
      <c r="A28" s="206"/>
      <c r="B28" s="906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f>+[115]MACRO!$H$574+[115]MACRO!$H$731</f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f>+[116]MACRO!$H$578+[116]MACRO!$H$737</f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f>+[117]MACRO!$H$588+[117]MACRO!$H$747</f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f>+[118]MACRO!$H$588+[118]MACRO!$H$747</f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f>+[119]MACRO!$H$596+[119]MACRO!$H$759</f>
        <v>5573.0120549231997</v>
      </c>
      <c r="BN28" s="330">
        <f>+[120]MACRO!$H$596+[120]MACRO!$H$759</f>
        <v>5575.2324228890002</v>
      </c>
      <c r="BO28" s="330">
        <f>+[121]MACRO!$H$596+[121]MACRO!$H$759</f>
        <v>5575.7902906360005</v>
      </c>
      <c r="BP28" s="330">
        <f>+[122]MACRO!$H$596+[122]MACRO!$H$759</f>
        <v>5732.2215220583994</v>
      </c>
      <c r="BQ28" s="330">
        <f>+[123]MACRO!$H$596+[123]MACRO!$H$759</f>
        <v>6387.6393860655999</v>
      </c>
      <c r="BR28" s="330">
        <f>+[124]MACRO!$H$596+[124]MACRO!$H$759</f>
        <v>6720.5717864904</v>
      </c>
      <c r="BS28" s="330">
        <f>+[125]MACRO!$H$598+[125]MACRO!$H$761</f>
        <v>6402.3115020688001</v>
      </c>
      <c r="BT28" s="330">
        <f>+[126]MACRO!$H$598+[126]MACRO!$H$761</f>
        <v>7008.4402740528003</v>
      </c>
      <c r="BU28" s="330">
        <f>+[127]MACRO!$H$598+[127]MACRO!$H$761</f>
        <v>6174.7879282787999</v>
      </c>
      <c r="BV28" s="330">
        <f>+[72]MACRO!$H$598+[72]MACRO!$H$761</f>
        <v>5572.7175188295996</v>
      </c>
      <c r="BW28" s="330">
        <f>+[73]MACRO!$H$598+[73]MACRO!$H$761</f>
        <v>6032.0038579862003</v>
      </c>
      <c r="BX28" s="330">
        <f>+[74]MACRO!$H$598+[74]MACRO!$H$761</f>
        <v>5550.5131906986007</v>
      </c>
      <c r="BY28" s="330">
        <f>+[75]MACRO!$H$598+[75]MACRO!$H$761</f>
        <v>5614.7077047839994</v>
      </c>
      <c r="BZ28" s="330">
        <f>+[76]MACRO!$H$598+[76]MACRO!$H$761</f>
        <v>5520.3519819792009</v>
      </c>
      <c r="CA28" s="330">
        <f>+[77]MACRO!$H$599+[77]MACRO!$H$764</f>
        <v>5515.2189933064001</v>
      </c>
      <c r="CB28" s="330">
        <f>+[78]MACRO!$H$600+[78]MACRO!$H$765</f>
        <v>5515.5993681549999</v>
      </c>
      <c r="CC28" s="437">
        <f>+[79]MACRO!$H$600+[79]MACRO!$H$765</f>
        <v>6006.9863481479997</v>
      </c>
      <c r="CD28" s="437">
        <f>+[80]MACRO!$H$600+[80]MACRO!$H$765</f>
        <v>5515.1043655202002</v>
      </c>
      <c r="CE28" s="330">
        <f>+[81]MACRO!$H$600+[81]MACRO!$H$765</f>
        <v>5514.9757570049997</v>
      </c>
      <c r="CF28" s="437">
        <f>+[82]MACRO!$H$600+[82]MACRO!$H$765</f>
        <v>5513.6795435652002</v>
      </c>
      <c r="CG28" s="330">
        <f>+[83]MACRO!$H$600+[83]MACRO!$H$765</f>
        <v>5513.5700385094005</v>
      </c>
      <c r="CH28" s="330">
        <f>+[84]MACRO!$H$600+[84]MACRO!$H$765</f>
        <v>5517.9591603192002</v>
      </c>
      <c r="CI28" s="330">
        <f>+[85]MACRO!$H$600+[85]MACRO!$H$765</f>
        <v>5517.3650404956006</v>
      </c>
      <c r="CJ28" s="330">
        <f>+[86]MACRO!$H$600+[86]MACRO!$H$765</f>
        <v>5517.1263421548001</v>
      </c>
      <c r="CK28" s="330">
        <f>+[87]MACRO!$H$601+[87]MACRO!$H$766</f>
        <v>5516.9044176325997</v>
      </c>
      <c r="CL28" s="657">
        <f>+[88]MACRO!$H$601+[88]MACRO!$H$766</f>
        <v>5515.2090533657993</v>
      </c>
      <c r="CM28" s="678">
        <f>+[89]MACRO!$H$601+[89]MACRO!$H$766</f>
        <v>5623.4534891457997</v>
      </c>
      <c r="CN28" s="678">
        <v>5624.4747691864004</v>
      </c>
      <c r="CO28" s="678">
        <v>5635.3376826232006</v>
      </c>
      <c r="CP28" s="710">
        <f>[90]MACRO!$H$601+[90]MACRO!$H$766</f>
        <v>5515.4821652390001</v>
      </c>
      <c r="CQ28" s="710">
        <f>[91]MACRO!$H$601+[91]MACRO!$H$766</f>
        <v>5511.5381379586006</v>
      </c>
      <c r="CR28" s="657">
        <f>[92]MACRO!$H$601+[92]MACRO!$H$766</f>
        <v>5510.5030120494002</v>
      </c>
      <c r="CS28" s="710">
        <f>[93]MACRO!$H$602+[93]MACRO!$H$767</f>
        <v>5511.4286723254008</v>
      </c>
      <c r="CT28" s="720">
        <f>[128]MACRO!$H$602</f>
        <v>5510.7441179747993</v>
      </c>
      <c r="CU28" s="710">
        <f>[94]MACRO!$H$602</f>
        <v>5648.4679061049992</v>
      </c>
      <c r="CV28" s="710">
        <f>[95]MACRO!$H$608</f>
        <v>5737.7142475352002</v>
      </c>
      <c r="CW28" s="710">
        <f>[96]MACRO!$H$608</f>
        <v>5726.5567081673998</v>
      </c>
      <c r="CX28" s="687">
        <f>[97]MACRO!$H$608</f>
        <v>5509.4843779900002</v>
      </c>
      <c r="CY28" s="687">
        <f>[98]MACRO!$H$608</f>
        <v>5509.3911140262007</v>
      </c>
      <c r="CZ28" s="687">
        <f>[99]MACRO!$H$608</f>
        <v>5509.4243296660006</v>
      </c>
      <c r="DA28" s="720">
        <f>[100]MACRO!$H$608</f>
        <v>5509.5388962622001</v>
      </c>
      <c r="DB28" s="687">
        <f>[101]MACRO!$H$608</f>
        <v>5509.4859564074004</v>
      </c>
      <c r="DC28" s="687">
        <f>[102]MACRO!$H$608</f>
        <v>5509.5128699024008</v>
      </c>
      <c r="DD28" s="687">
        <f>[103]MACRO!$H$608</f>
        <v>5509.5065217270003</v>
      </c>
      <c r="DE28" s="687">
        <f>[104]MACRO!$H$608</f>
        <v>5509.5183424674005</v>
      </c>
      <c r="DF28" s="720">
        <f>[105]MACRO!$H$608</f>
        <v>5509.5633902352001</v>
      </c>
      <c r="DG28" s="687">
        <f>[106]MACRO!$H$608</f>
        <v>5509.5744851876007</v>
      </c>
      <c r="DH28" s="687">
        <f>[107]MACRO!$H$608</f>
        <v>5509.5428940644006</v>
      </c>
      <c r="DI28" s="687">
        <f>[108]MACRO!$H$608</f>
        <v>5509.6251208370004</v>
      </c>
      <c r="DJ28" s="687">
        <f>[109]MACRO!$H$608</f>
        <v>5509.5887484310006</v>
      </c>
      <c r="DK28" s="720">
        <f>[110]MACRO!$H$608</f>
        <v>5509.5760981794001</v>
      </c>
      <c r="DL28" s="687"/>
      <c r="DM28" s="687">
        <f>[111]MACRO!$H$608</f>
        <v>5509.6187725930004</v>
      </c>
      <c r="DN28" s="687">
        <f>[112]MACRO!$H$608</f>
        <v>5509.6409163300004</v>
      </c>
      <c r="DO28" s="687">
        <f>[113]MACRO!$H$608</f>
        <v>5509.6480134116</v>
      </c>
      <c r="DP28" s="657">
        <f>[114]MACRO!$H$608</f>
        <v>5509.6171481450001</v>
      </c>
      <c r="DQ28" s="348" t="e">
        <f>DP28-#REF!</f>
        <v>#REF!</v>
      </c>
      <c r="DR28" s="744" t="e">
        <f>(+(DP28/#REF!-1))*100</f>
        <v>#REF!</v>
      </c>
      <c r="DS28" s="479"/>
      <c r="DT28" s="729"/>
      <c r="DU28" s="271"/>
    </row>
    <row r="29" spans="1:128" ht="13.5" x14ac:dyDescent="0.2">
      <c r="A29" s="206"/>
      <c r="B29" s="906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737"/>
      <c r="DB29" s="654"/>
      <c r="DC29" s="654"/>
      <c r="DD29" s="654"/>
      <c r="DE29" s="654"/>
      <c r="DF29" s="737"/>
      <c r="DG29" s="654"/>
      <c r="DH29" s="654"/>
      <c r="DI29" s="654"/>
      <c r="DJ29" s="654"/>
      <c r="DK29" s="737"/>
      <c r="DL29" s="654"/>
      <c r="DM29" s="654"/>
      <c r="DN29" s="654"/>
      <c r="DO29" s="654"/>
      <c r="DP29" s="655"/>
      <c r="DQ29" s="546"/>
      <c r="DR29" s="730"/>
      <c r="DS29" s="479"/>
      <c r="DT29" s="265"/>
    </row>
    <row r="30" spans="1:128" x14ac:dyDescent="0.2">
      <c r="A30" s="206"/>
      <c r="B30" s="906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70101.84715709</v>
      </c>
      <c r="CX30" s="687">
        <v>70041.958287204106</v>
      </c>
      <c r="CY30" s="687">
        <v>70570.389453834126</v>
      </c>
      <c r="CZ30" s="687">
        <v>70208.468011144112</v>
      </c>
      <c r="DA30" s="720">
        <v>70196.846389344108</v>
      </c>
      <c r="DB30" s="687">
        <v>70192.573330364103</v>
      </c>
      <c r="DC30" s="687">
        <v>70289.782768974124</v>
      </c>
      <c r="DD30" s="687">
        <v>70330.239731564114</v>
      </c>
      <c r="DE30" s="687">
        <v>70290.020645924116</v>
      </c>
      <c r="DF30" s="720">
        <v>69965.465247714121</v>
      </c>
      <c r="DG30" s="687">
        <v>69737.109809584115</v>
      </c>
      <c r="DH30" s="687">
        <v>69215.39247729411</v>
      </c>
      <c r="DI30" s="687">
        <v>69263.086144724104</v>
      </c>
      <c r="DJ30" s="687">
        <v>68980.529181634105</v>
      </c>
      <c r="DK30" s="720">
        <v>68652.480631414102</v>
      </c>
      <c r="DL30" s="687"/>
      <c r="DM30" s="687">
        <v>68716.481579584099</v>
      </c>
      <c r="DN30" s="687">
        <v>68318.456092564113</v>
      </c>
      <c r="DO30" s="687">
        <v>69049.411505874115</v>
      </c>
      <c r="DP30" s="657">
        <v>68730.866884074101</v>
      </c>
      <c r="DQ30" s="348" t="e">
        <f>DP30-#REF!</f>
        <v>#REF!</v>
      </c>
      <c r="DR30" s="744" t="e">
        <f>(+(DP30/#REF!-1))*100</f>
        <v>#REF!</v>
      </c>
      <c r="DS30" s="479"/>
      <c r="DT30" s="820"/>
      <c r="DU30" s="271"/>
    </row>
    <row r="31" spans="1:128" x14ac:dyDescent="0.2">
      <c r="A31" s="206"/>
      <c r="B31" s="906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121646.83928334</v>
      </c>
      <c r="CX31" s="687">
        <v>121493.57400799538</v>
      </c>
      <c r="CY31" s="687">
        <v>122105.6973955854</v>
      </c>
      <c r="CZ31" s="687">
        <v>121714.85790916538</v>
      </c>
      <c r="DA31" s="720">
        <v>122472.81127857536</v>
      </c>
      <c r="DB31" s="687">
        <v>121854.65567297536</v>
      </c>
      <c r="DC31" s="687">
        <v>121862.05658617539</v>
      </c>
      <c r="DD31" s="687">
        <v>121813.89409318537</v>
      </c>
      <c r="DE31" s="687">
        <v>121638.43873439539</v>
      </c>
      <c r="DF31" s="720">
        <v>121321.17035923542</v>
      </c>
      <c r="DG31" s="687">
        <v>120562.4002467454</v>
      </c>
      <c r="DH31" s="687">
        <v>119653.95049248537</v>
      </c>
      <c r="DI31" s="687">
        <v>119658.44290060537</v>
      </c>
      <c r="DJ31" s="687">
        <v>119347.06246992538</v>
      </c>
      <c r="DK31" s="720">
        <v>119018.54815027538</v>
      </c>
      <c r="DL31" s="687"/>
      <c r="DM31" s="687">
        <v>118417.32616894538</v>
      </c>
      <c r="DN31" s="687">
        <v>117981.48415126538</v>
      </c>
      <c r="DO31" s="687">
        <v>118552.65534510538</v>
      </c>
      <c r="DP31" s="657">
        <v>118130.00009325537</v>
      </c>
      <c r="DQ31" s="348" t="e">
        <f>DP31-#REF!</f>
        <v>#REF!</v>
      </c>
      <c r="DR31" s="744" t="e">
        <f>(+(DP31/#REF!-1))*100</f>
        <v>#REF!</v>
      </c>
      <c r="DS31" s="479"/>
      <c r="DT31" s="820"/>
      <c r="DU31" s="271"/>
    </row>
    <row r="32" spans="1:128" x14ac:dyDescent="0.2">
      <c r="A32" s="206"/>
      <c r="B32" s="906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191109.37357667001</v>
      </c>
      <c r="CX32" s="687">
        <v>190942.71555177291</v>
      </c>
      <c r="CY32" s="687">
        <v>191498.69964815295</v>
      </c>
      <c r="CZ32" s="687">
        <v>190948.49193812296</v>
      </c>
      <c r="DA32" s="720">
        <v>191653.05228957292</v>
      </c>
      <c r="DB32" s="687">
        <v>191012.31737884294</v>
      </c>
      <c r="DC32" s="687">
        <v>191003.04400921293</v>
      </c>
      <c r="DD32" s="687">
        <v>190961.78229619295</v>
      </c>
      <c r="DE32" s="687">
        <v>190949.77844568292</v>
      </c>
      <c r="DF32" s="720">
        <v>190658.58667050296</v>
      </c>
      <c r="DG32" s="687">
        <v>189862.5295544629</v>
      </c>
      <c r="DH32" s="687">
        <v>188905.04888258292</v>
      </c>
      <c r="DI32" s="687">
        <v>188949.10050077291</v>
      </c>
      <c r="DJ32" s="687">
        <v>188656.37963314293</v>
      </c>
      <c r="DK32" s="720">
        <v>188321.33500398294</v>
      </c>
      <c r="DL32" s="687"/>
      <c r="DM32" s="687">
        <v>187775.90745395294</v>
      </c>
      <c r="DN32" s="687">
        <v>187527.76822173293</v>
      </c>
      <c r="DO32" s="687">
        <v>188176.40087271295</v>
      </c>
      <c r="DP32" s="720">
        <v>187889.44374805293</v>
      </c>
      <c r="DQ32" s="348" t="e">
        <f>DP32-#REF!</f>
        <v>#REF!</v>
      </c>
      <c r="DR32" s="744" t="e">
        <f>(+(DP32/#REF!-1))*100</f>
        <v>#REF!</v>
      </c>
      <c r="DS32" s="479"/>
      <c r="DT32" s="820"/>
      <c r="DU32" s="271"/>
    </row>
    <row r="33" spans="1:125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737"/>
      <c r="DB33" s="654"/>
      <c r="DC33" s="654"/>
      <c r="DD33" s="654"/>
      <c r="DE33" s="654"/>
      <c r="DF33" s="737"/>
      <c r="DG33" s="654"/>
      <c r="DH33" s="654"/>
      <c r="DI33" s="654"/>
      <c r="DJ33" s="654"/>
      <c r="DK33" s="737"/>
      <c r="DL33" s="654"/>
      <c r="DM33" s="654"/>
      <c r="DN33" s="654"/>
      <c r="DO33" s="654"/>
      <c r="DP33" s="737"/>
      <c r="DQ33" s="546"/>
      <c r="DR33" s="734"/>
      <c r="DS33" s="479"/>
      <c r="DT33" s="821"/>
    </row>
    <row r="34" spans="1:125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f>100*0.877740245240763</f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5">
        <v>88.138869816084025</v>
      </c>
      <c r="CV34" s="835">
        <v>88.478867089610745</v>
      </c>
      <c r="CW34" s="835">
        <v>89.60211252585691</v>
      </c>
      <c r="CX34" s="725">
        <v>89.502954177505416</v>
      </c>
      <c r="CY34" s="725">
        <v>89.546269736804533</v>
      </c>
      <c r="CZ34" s="725">
        <v>89.524117280862896</v>
      </c>
      <c r="DA34" s="896">
        <v>89.500684928790264</v>
      </c>
      <c r="DB34" s="725">
        <v>89.511633852586442</v>
      </c>
      <c r="DC34" s="725">
        <v>89.527592274037417</v>
      </c>
      <c r="DD34" s="725">
        <v>89.607984949807857</v>
      </c>
      <c r="DE34" s="725">
        <v>89.577944362312337</v>
      </c>
      <c r="DF34" s="896">
        <v>89.479855541301006</v>
      </c>
      <c r="DG34" s="725">
        <v>89.486400139968637</v>
      </c>
      <c r="DH34" s="725">
        <v>89.350217770334126</v>
      </c>
      <c r="DI34" s="725">
        <v>89.232774356505601</v>
      </c>
      <c r="DJ34" s="725">
        <v>89.291191810112807</v>
      </c>
      <c r="DK34" s="896">
        <v>89.164724028316414</v>
      </c>
      <c r="DL34" s="725">
        <v>0</v>
      </c>
      <c r="DM34" s="725">
        <v>89.085169458939973</v>
      </c>
      <c r="DN34" s="725">
        <v>89.071506356577359</v>
      </c>
      <c r="DO34" s="725">
        <v>88.991080231909464</v>
      </c>
      <c r="DP34" s="896">
        <v>88.95023739927521</v>
      </c>
      <c r="DQ34" s="348" t="e">
        <f>DP34-#REF!</f>
        <v>#REF!</v>
      </c>
      <c r="DR34" s="744" t="e">
        <f>(+(DP34/#REF!-1))*100</f>
        <v>#REF!</v>
      </c>
      <c r="DS34" s="479"/>
      <c r="DT34" s="820"/>
    </row>
    <row r="35" spans="1:125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f>100*0.843559854595171</f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5">
        <v>83.438419673227344</v>
      </c>
      <c r="CV35" s="835">
        <v>83.574785484113036</v>
      </c>
      <c r="CW35" s="835">
        <v>84.364190442443402</v>
      </c>
      <c r="CX35" s="725">
        <v>84.284912005323633</v>
      </c>
      <c r="CY35" s="725">
        <v>84.342003805700401</v>
      </c>
      <c r="CZ35" s="725">
        <v>84.262863622337306</v>
      </c>
      <c r="DA35" s="896">
        <v>84.377944576478654</v>
      </c>
      <c r="DB35" s="725">
        <v>84.349311307648904</v>
      </c>
      <c r="DC35" s="725">
        <v>84.335438712521025</v>
      </c>
      <c r="DD35" s="725">
        <v>84.392205349810453</v>
      </c>
      <c r="DE35" s="725">
        <v>84.345467346935536</v>
      </c>
      <c r="DF35" s="896">
        <v>84.257259420239478</v>
      </c>
      <c r="DG35" s="725">
        <v>84.196370927761038</v>
      </c>
      <c r="DH35" s="725">
        <v>84.029496253152246</v>
      </c>
      <c r="DI35" s="725">
        <v>83.975729117701306</v>
      </c>
      <c r="DJ35" s="725">
        <v>83.987193335898354</v>
      </c>
      <c r="DK35" s="896">
        <v>83.895965517220631</v>
      </c>
      <c r="DL35" s="725">
        <v>0</v>
      </c>
      <c r="DM35" s="725">
        <v>83.760043301774047</v>
      </c>
      <c r="DN35" s="725">
        <v>83.705649097526162</v>
      </c>
      <c r="DO35" s="725">
        <v>83.748299552398677</v>
      </c>
      <c r="DP35" s="896">
        <v>83.693396925686159</v>
      </c>
      <c r="DQ35" s="348" t="e">
        <f>DP35-#REF!</f>
        <v>#REF!</v>
      </c>
      <c r="DR35" s="744" t="e">
        <f>(+(DP35/#REF!-1))*100</f>
        <v>#REF!</v>
      </c>
      <c r="DS35" s="479"/>
      <c r="DT35" s="820"/>
    </row>
    <row r="36" spans="1:125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f>100*0.865907988938879</f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6">
        <v>86.900672438115862</v>
      </c>
      <c r="CV36" s="836">
        <v>87.064960429790133</v>
      </c>
      <c r="CW36" s="836">
        <v>87.546028989890686</v>
      </c>
      <c r="CX36" s="762">
        <v>87.494805671265496</v>
      </c>
      <c r="CY36" s="762">
        <v>87.510609634281806</v>
      </c>
      <c r="CZ36" s="762">
        <v>87.46455041327134</v>
      </c>
      <c r="DA36" s="823">
        <v>87.522960322034479</v>
      </c>
      <c r="DB36" s="762">
        <v>87.51373773054712</v>
      </c>
      <c r="DC36" s="762">
        <v>87.499878017284189</v>
      </c>
      <c r="DD36" s="762">
        <v>87.538042671014367</v>
      </c>
      <c r="DE36" s="762">
        <v>87.5217613053006</v>
      </c>
      <c r="DF36" s="823">
        <v>87.470058841137956</v>
      </c>
      <c r="DG36" s="762">
        <v>87.457909964392869</v>
      </c>
      <c r="DH36" s="762">
        <v>87.367789785690491</v>
      </c>
      <c r="DI36" s="762">
        <v>87.333143546071526</v>
      </c>
      <c r="DJ36" s="762">
        <v>87.349311033031611</v>
      </c>
      <c r="DK36" s="823">
        <v>87.311392024134364</v>
      </c>
      <c r="DL36" s="762">
        <v>0</v>
      </c>
      <c r="DM36" s="762">
        <v>87.246800227625329</v>
      </c>
      <c r="DN36" s="762">
        <v>87.229010101680259</v>
      </c>
      <c r="DO36" s="762">
        <v>87.248337262293987</v>
      </c>
      <c r="DP36" s="823">
        <v>87.22428587153621</v>
      </c>
      <c r="DQ36" s="551" t="e">
        <f>DP36-#REF!</f>
        <v>#REF!</v>
      </c>
      <c r="DR36" s="763" t="e">
        <f>(+(DP36/#REF!-1))*100</f>
        <v>#REF!</v>
      </c>
      <c r="DS36" s="479"/>
      <c r="DT36" s="820"/>
    </row>
    <row r="37" spans="1:125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1"/>
      <c r="CW37" s="881"/>
      <c r="CX37" s="728"/>
      <c r="CY37" s="728"/>
      <c r="CZ37" s="728"/>
      <c r="DA37" s="897"/>
      <c r="DB37" s="728"/>
      <c r="DC37" s="728"/>
      <c r="DD37" s="728"/>
      <c r="DE37" s="728"/>
      <c r="DF37" s="897"/>
      <c r="DG37" s="728"/>
      <c r="DH37" s="728"/>
      <c r="DI37" s="728"/>
      <c r="DJ37" s="728"/>
      <c r="DK37" s="897"/>
      <c r="DL37" s="728"/>
      <c r="DM37" s="728"/>
      <c r="DN37" s="728"/>
      <c r="DO37" s="728"/>
      <c r="DP37" s="824"/>
      <c r="DQ37" s="547" t="s">
        <v>3</v>
      </c>
      <c r="DR37" s="735"/>
      <c r="DS37" s="479"/>
      <c r="DT37" s="265"/>
    </row>
    <row r="38" spans="1:125" ht="12.75" customHeight="1" x14ac:dyDescent="0.2">
      <c r="A38" s="206"/>
      <c r="B38" s="908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f>+N39+N42</f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2849.1090351355679</v>
      </c>
      <c r="CY38" s="425">
        <v>2849.1090351355679</v>
      </c>
      <c r="CZ38" s="425">
        <v>2849.1090351355679</v>
      </c>
      <c r="DA38" s="457">
        <v>2880.8419447565589</v>
      </c>
      <c r="DB38" s="425">
        <v>2880.8419447565589</v>
      </c>
      <c r="DC38" s="425">
        <v>2880.8419447565589</v>
      </c>
      <c r="DD38" s="425">
        <v>2880.8419447565589</v>
      </c>
      <c r="DE38" s="425">
        <v>2880.8419447565589</v>
      </c>
      <c r="DF38" s="457">
        <v>2904.2588543775501</v>
      </c>
      <c r="DG38" s="425">
        <v>2904.2588543775501</v>
      </c>
      <c r="DH38" s="425">
        <v>2904.2588543775501</v>
      </c>
      <c r="DI38" s="425">
        <v>2904.2588543775501</v>
      </c>
      <c r="DJ38" s="425">
        <v>2904.2588543775501</v>
      </c>
      <c r="DK38" s="457">
        <v>2930.7122071472295</v>
      </c>
      <c r="DL38" s="425"/>
      <c r="DM38" s="425">
        <v>2930.7122071472295</v>
      </c>
      <c r="DN38" s="425">
        <v>2930.7122071472295</v>
      </c>
      <c r="DO38" s="425">
        <v>2930.7122071472295</v>
      </c>
      <c r="DP38" s="662">
        <v>2967.6611867390661</v>
      </c>
      <c r="DQ38" s="348" t="e">
        <f>DP38-#REF!</f>
        <v>#REF!</v>
      </c>
      <c r="DR38" s="744" t="e">
        <f>(+(DP38/#REF!-1))*100</f>
        <v>#REF!</v>
      </c>
      <c r="DS38" s="479"/>
      <c r="DT38" s="628"/>
      <c r="DU38" s="271"/>
    </row>
    <row r="39" spans="1:125" x14ac:dyDescent="0.2">
      <c r="A39" s="206"/>
      <c r="B39" s="908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f>+N40/N85+N41</f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1840.3536268221576</v>
      </c>
      <c r="CY39" s="425">
        <v>1840.3536268221576</v>
      </c>
      <c r="CZ39" s="425">
        <v>1840.3536268221576</v>
      </c>
      <c r="DA39" s="457">
        <v>1840.4740000000002</v>
      </c>
      <c r="DB39" s="425">
        <v>1840.4740000000002</v>
      </c>
      <c r="DC39" s="425">
        <v>1840.4740000000002</v>
      </c>
      <c r="DD39" s="425">
        <v>1840.4740000000002</v>
      </c>
      <c r="DE39" s="425">
        <v>1840.4740000000002</v>
      </c>
      <c r="DF39" s="457">
        <v>1840.4740000000002</v>
      </c>
      <c r="DG39" s="425">
        <v>1840.4740000000002</v>
      </c>
      <c r="DH39" s="425">
        <v>1840.4740000000002</v>
      </c>
      <c r="DI39" s="425">
        <v>1840.4740000000002</v>
      </c>
      <c r="DJ39" s="425">
        <v>1840.4740000000002</v>
      </c>
      <c r="DK39" s="457">
        <v>1840.4740000000002</v>
      </c>
      <c r="DL39" s="425"/>
      <c r="DM39" s="425">
        <v>1840.4740000000002</v>
      </c>
      <c r="DN39" s="425">
        <v>1840.4740000000002</v>
      </c>
      <c r="DO39" s="425">
        <v>1840.4740000000002</v>
      </c>
      <c r="DP39" s="662">
        <v>1847.7626297376096</v>
      </c>
      <c r="DQ39" s="348" t="e">
        <f>DP39-#REF!</f>
        <v>#REF!</v>
      </c>
      <c r="DR39" s="744" t="e">
        <f>(+(DP39/#REF!-1))*100</f>
        <v>#REF!</v>
      </c>
      <c r="DS39" s="479"/>
      <c r="DT39" s="265"/>
      <c r="DU39" s="271"/>
    </row>
    <row r="40" spans="1:125" ht="12.75" customHeight="1" x14ac:dyDescent="0.2">
      <c r="A40" s="206"/>
      <c r="B40" s="908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12624.825880000002</v>
      </c>
      <c r="CY40" s="425">
        <v>12624.825880000002</v>
      </c>
      <c r="CZ40" s="425">
        <v>12624.825880000002</v>
      </c>
      <c r="DA40" s="457">
        <v>12625.651640000002</v>
      </c>
      <c r="DB40" s="425">
        <v>12625.651640000002</v>
      </c>
      <c r="DC40" s="425">
        <v>12625.651640000002</v>
      </c>
      <c r="DD40" s="425">
        <v>12625.651640000002</v>
      </c>
      <c r="DE40" s="425">
        <v>12625.651640000002</v>
      </c>
      <c r="DF40" s="457">
        <v>12625.651640000002</v>
      </c>
      <c r="DG40" s="425">
        <v>12625.651640000002</v>
      </c>
      <c r="DH40" s="425">
        <v>12625.651640000002</v>
      </c>
      <c r="DI40" s="425">
        <v>12625.651640000002</v>
      </c>
      <c r="DJ40" s="425">
        <v>12625.651640000002</v>
      </c>
      <c r="DK40" s="457">
        <v>12625.651640000002</v>
      </c>
      <c r="DL40" s="425"/>
      <c r="DM40" s="425">
        <v>12625.651640000002</v>
      </c>
      <c r="DN40" s="425">
        <v>12625.651640000002</v>
      </c>
      <c r="DO40" s="425">
        <v>12625.651640000002</v>
      </c>
      <c r="DP40" s="662">
        <v>12675.651640000002</v>
      </c>
      <c r="DQ40" s="348" t="e">
        <f>DP40-#REF!</f>
        <v>#REF!</v>
      </c>
      <c r="DR40" s="744" t="e">
        <f>(+(DP40/#REF!-1))*100</f>
        <v>#REF!</v>
      </c>
      <c r="DS40" s="479"/>
      <c r="DT40" s="265"/>
      <c r="DU40" s="271"/>
    </row>
    <row r="41" spans="1:125" ht="12.75" customHeight="1" x14ac:dyDescent="0.2">
      <c r="A41" s="206"/>
      <c r="B41" s="908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57">
        <v>0</v>
      </c>
      <c r="DB41" s="425">
        <v>0</v>
      </c>
      <c r="DC41" s="425">
        <v>0</v>
      </c>
      <c r="DD41" s="425">
        <v>0</v>
      </c>
      <c r="DE41" s="425">
        <v>0</v>
      </c>
      <c r="DF41" s="457">
        <v>0</v>
      </c>
      <c r="DG41" s="425">
        <v>0</v>
      </c>
      <c r="DH41" s="425">
        <v>0</v>
      </c>
      <c r="DI41" s="425">
        <v>0</v>
      </c>
      <c r="DJ41" s="425">
        <v>0</v>
      </c>
      <c r="DK41" s="457">
        <v>0</v>
      </c>
      <c r="DL41" s="425"/>
      <c r="DM41" s="425">
        <v>0</v>
      </c>
      <c r="DN41" s="425">
        <v>0</v>
      </c>
      <c r="DO41" s="425">
        <v>0</v>
      </c>
      <c r="DP41" s="662">
        <v>0</v>
      </c>
      <c r="DQ41" s="348" t="e">
        <f>DP41-#REF!</f>
        <v>#REF!</v>
      </c>
      <c r="DR41" s="744"/>
      <c r="DS41" s="479"/>
      <c r="DT41" s="265"/>
      <c r="DU41" s="271"/>
    </row>
    <row r="42" spans="1:125" x14ac:dyDescent="0.2">
      <c r="A42" s="206"/>
      <c r="B42" s="908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f>+N43/N85+N45</f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1008.75540831341</v>
      </c>
      <c r="CY42" s="425">
        <v>1008.75540831341</v>
      </c>
      <c r="CZ42" s="425">
        <v>1008.75540831341</v>
      </c>
      <c r="DA42" s="457">
        <v>1040.3679447565587</v>
      </c>
      <c r="DB42" s="425">
        <v>1040.3679447565587</v>
      </c>
      <c r="DC42" s="425">
        <v>1040.3679447565587</v>
      </c>
      <c r="DD42" s="425">
        <v>1040.3679447565587</v>
      </c>
      <c r="DE42" s="425">
        <v>1040.3679447565587</v>
      </c>
      <c r="DF42" s="457">
        <v>1063.7848543775499</v>
      </c>
      <c r="DG42" s="425">
        <v>1063.7848543775499</v>
      </c>
      <c r="DH42" s="425">
        <v>1063.7848543775499</v>
      </c>
      <c r="DI42" s="425">
        <v>1063.7848543775499</v>
      </c>
      <c r="DJ42" s="425">
        <v>1063.7848543775499</v>
      </c>
      <c r="DK42" s="457">
        <v>1090.2382071472293</v>
      </c>
      <c r="DL42" s="425"/>
      <c r="DM42" s="425">
        <v>1090.2382071472293</v>
      </c>
      <c r="DN42" s="425">
        <v>1090.2382071472293</v>
      </c>
      <c r="DO42" s="425">
        <v>1090.2382071472293</v>
      </c>
      <c r="DP42" s="662">
        <v>1119.8985570014565</v>
      </c>
      <c r="DQ42" s="348" t="e">
        <f>DP42-#REF!</f>
        <v>#REF!</v>
      </c>
      <c r="DR42" s="744" t="e">
        <f>(+(DP42/#REF!-1))*100</f>
        <v>#REF!</v>
      </c>
      <c r="DS42" s="479"/>
      <c r="DT42" s="265"/>
      <c r="DU42" s="271"/>
    </row>
    <row r="43" spans="1:125" ht="13.5" x14ac:dyDescent="0.2">
      <c r="A43" s="206"/>
      <c r="B43" s="908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6920.0621010299928</v>
      </c>
      <c r="CY43" s="425">
        <v>6920.0621010299928</v>
      </c>
      <c r="CZ43" s="425">
        <v>6920.0621010299928</v>
      </c>
      <c r="DA43" s="457">
        <v>7136.9241010299929</v>
      </c>
      <c r="DB43" s="425">
        <v>7136.9241010299929</v>
      </c>
      <c r="DC43" s="425">
        <v>7136.9241010299929</v>
      </c>
      <c r="DD43" s="425">
        <v>7136.9241010299929</v>
      </c>
      <c r="DE43" s="425">
        <v>7136.9241010299929</v>
      </c>
      <c r="DF43" s="457">
        <v>7297.5641010299933</v>
      </c>
      <c r="DG43" s="425">
        <v>7297.5641010299933</v>
      </c>
      <c r="DH43" s="425">
        <v>7297.5641010299933</v>
      </c>
      <c r="DI43" s="425">
        <v>7297.5641010299933</v>
      </c>
      <c r="DJ43" s="425">
        <v>7297.5641010299933</v>
      </c>
      <c r="DK43" s="457">
        <v>7479.0341010299935</v>
      </c>
      <c r="DL43" s="425"/>
      <c r="DM43" s="425">
        <v>7479.0341010299935</v>
      </c>
      <c r="DN43" s="425">
        <v>7479.0341010299935</v>
      </c>
      <c r="DO43" s="425">
        <v>7479.0341010299935</v>
      </c>
      <c r="DP43" s="662">
        <v>7682.5041010299929</v>
      </c>
      <c r="DQ43" s="348" t="e">
        <f>DP43-#REF!</f>
        <v>#REF!</v>
      </c>
      <c r="DR43" s="744" t="e">
        <f>(+(DP43/#REF!-1))*100</f>
        <v>#REF!</v>
      </c>
      <c r="DS43" s="479"/>
      <c r="DT43" s="265"/>
      <c r="DU43" s="271"/>
    </row>
    <row r="44" spans="1:125" ht="12.75" customHeight="1" x14ac:dyDescent="0.2">
      <c r="A44" s="206"/>
      <c r="B44" s="908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1428.0801010299992</v>
      </c>
      <c r="CY44" s="425">
        <v>1428.0801010299992</v>
      </c>
      <c r="CZ44" s="425">
        <v>1428.0801010299992</v>
      </c>
      <c r="DA44" s="457">
        <v>1491.9421010299993</v>
      </c>
      <c r="DB44" s="425">
        <v>1491.9421010299993</v>
      </c>
      <c r="DC44" s="425">
        <v>1491.9421010299993</v>
      </c>
      <c r="DD44" s="425">
        <v>1491.9421010299993</v>
      </c>
      <c r="DE44" s="425">
        <v>1491.9421010299993</v>
      </c>
      <c r="DF44" s="457">
        <v>1558.0821010299994</v>
      </c>
      <c r="DG44" s="425">
        <v>1558.0821010299994</v>
      </c>
      <c r="DH44" s="425">
        <v>1558.0821010299994</v>
      </c>
      <c r="DI44" s="425">
        <v>1558.0821010299994</v>
      </c>
      <c r="DJ44" s="425">
        <v>1558.0821010299994</v>
      </c>
      <c r="DK44" s="457">
        <v>1622.2521010299995</v>
      </c>
      <c r="DL44" s="425"/>
      <c r="DM44" s="425">
        <v>1622.2521010299995</v>
      </c>
      <c r="DN44" s="425">
        <v>1622.2521010299995</v>
      </c>
      <c r="DO44" s="425">
        <v>1622.2521010299995</v>
      </c>
      <c r="DP44" s="662">
        <v>1689.2221010299995</v>
      </c>
      <c r="DQ44" s="348" t="e">
        <f>DP44-#REF!</f>
        <v>#REF!</v>
      </c>
      <c r="DR44" s="744" t="e">
        <f>(+(DP44/#REF!-1))*100</f>
        <v>#REF!</v>
      </c>
      <c r="DS44" s="479"/>
      <c r="DT44" s="265"/>
      <c r="DU44" s="271"/>
    </row>
    <row r="45" spans="1:125" x14ac:dyDescent="0.2">
      <c r="A45" s="206"/>
      <c r="B45" s="908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57">
        <v>0</v>
      </c>
      <c r="DB45" s="425">
        <v>0</v>
      </c>
      <c r="DC45" s="425">
        <v>0</v>
      </c>
      <c r="DD45" s="425">
        <v>0</v>
      </c>
      <c r="DE45" s="425">
        <v>0</v>
      </c>
      <c r="DF45" s="457">
        <v>0</v>
      </c>
      <c r="DG45" s="425">
        <v>0</v>
      </c>
      <c r="DH45" s="425">
        <v>0</v>
      </c>
      <c r="DI45" s="425">
        <v>0</v>
      </c>
      <c r="DJ45" s="425">
        <v>0</v>
      </c>
      <c r="DK45" s="457">
        <v>0</v>
      </c>
      <c r="DL45" s="425"/>
      <c r="DM45" s="425">
        <v>0</v>
      </c>
      <c r="DN45" s="425">
        <v>0</v>
      </c>
      <c r="DO45" s="425">
        <v>0</v>
      </c>
      <c r="DP45" s="662">
        <v>0</v>
      </c>
      <c r="DQ45" s="348">
        <v>0</v>
      </c>
      <c r="DR45" s="843">
        <v>0</v>
      </c>
      <c r="DS45" s="479"/>
      <c r="DT45" s="265"/>
    </row>
    <row r="46" spans="1:125" x14ac:dyDescent="0.2">
      <c r="A46" s="206"/>
      <c r="B46" s="908"/>
      <c r="C46" s="17"/>
      <c r="D46" s="22" t="s">
        <v>26</v>
      </c>
      <c r="E46" s="111">
        <f t="shared" ref="E46:K46" si="6">+E47+E50</f>
        <v>3.5868005738880919</v>
      </c>
      <c r="F46" s="111">
        <f t="shared" si="6"/>
        <v>0</v>
      </c>
      <c r="G46" s="111">
        <f t="shared" si="6"/>
        <v>4.3294978479196553</v>
      </c>
      <c r="H46" s="111">
        <f t="shared" si="6"/>
        <v>0</v>
      </c>
      <c r="I46" s="111">
        <f t="shared" si="6"/>
        <v>0</v>
      </c>
      <c r="J46" s="111">
        <f t="shared" si="6"/>
        <v>5.7388809182209476E-2</v>
      </c>
      <c r="K46" s="111">
        <f t="shared" si="6"/>
        <v>0</v>
      </c>
      <c r="L46" s="111">
        <f>+L47+L50</f>
        <v>0</v>
      </c>
      <c r="M46" s="110">
        <f>+M47+M50</f>
        <v>0.03</v>
      </c>
      <c r="N46" s="111">
        <f>+N47+N50</f>
        <v>0.02</v>
      </c>
      <c r="O46" s="111">
        <f>+O47+O50</f>
        <v>0.02</v>
      </c>
      <c r="P46" s="160">
        <v>0.02</v>
      </c>
      <c r="Q46" s="111">
        <v>0.02</v>
      </c>
      <c r="R46" s="111">
        <f t="shared" ref="R46:Y46" si="7">+R47+R50</f>
        <v>0</v>
      </c>
      <c r="S46" s="176">
        <f t="shared" si="7"/>
        <v>0</v>
      </c>
      <c r="T46" s="176">
        <f t="shared" si="7"/>
        <v>0</v>
      </c>
      <c r="U46" s="176">
        <f t="shared" si="7"/>
        <v>0</v>
      </c>
      <c r="V46" s="176">
        <f t="shared" si="7"/>
        <v>0</v>
      </c>
      <c r="W46" s="176">
        <f t="shared" si="7"/>
        <v>0</v>
      </c>
      <c r="X46" s="176">
        <f t="shared" si="7"/>
        <v>0</v>
      </c>
      <c r="Y46" s="176">
        <f t="shared" si="7"/>
        <v>0</v>
      </c>
      <c r="Z46" s="176">
        <v>0</v>
      </c>
      <c r="AA46" s="176">
        <f>+AA47+AA50</f>
        <v>0</v>
      </c>
      <c r="AB46" s="176">
        <f>+AB47+AB50</f>
        <v>9.5504655172413792E-3</v>
      </c>
      <c r="AC46" s="176">
        <f>+AC47+AC50</f>
        <v>15.950432276657061</v>
      </c>
      <c r="AD46" s="176">
        <v>0</v>
      </c>
      <c r="AE46" s="176">
        <v>0</v>
      </c>
      <c r="AF46" s="176">
        <f t="shared" ref="AF46:AL46" si="8">+AF47+AF50</f>
        <v>0</v>
      </c>
      <c r="AG46" s="176">
        <f t="shared" si="8"/>
        <v>3.6269956458635702</v>
      </c>
      <c r="AH46" s="176">
        <f t="shared" si="8"/>
        <v>18.143686502177069</v>
      </c>
      <c r="AI46" s="176">
        <f t="shared" si="8"/>
        <v>0</v>
      </c>
      <c r="AJ46" s="176">
        <f t="shared" si="8"/>
        <v>7.2765647743813684</v>
      </c>
      <c r="AK46" s="176">
        <f t="shared" si="8"/>
        <v>0</v>
      </c>
      <c r="AL46" s="176">
        <f t="shared" si="8"/>
        <v>0</v>
      </c>
      <c r="AM46" s="176">
        <v>0</v>
      </c>
      <c r="AN46" s="176">
        <v>0</v>
      </c>
      <c r="AO46" s="176">
        <f>+AO47+AO50</f>
        <v>0</v>
      </c>
      <c r="AP46" s="176">
        <v>0</v>
      </c>
      <c r="AQ46" s="304">
        <f t="shared" ref="AQ46:BA46" si="9">+AQ47+AQ50</f>
        <v>0</v>
      </c>
      <c r="AR46" s="304">
        <f t="shared" si="9"/>
        <v>0</v>
      </c>
      <c r="AS46" s="304">
        <f t="shared" si="9"/>
        <v>0</v>
      </c>
      <c r="AT46" s="176">
        <f t="shared" si="9"/>
        <v>0.40466472303207002</v>
      </c>
      <c r="AU46" s="304">
        <f t="shared" si="9"/>
        <v>1.2771137026239066E-3</v>
      </c>
      <c r="AV46" s="338">
        <f t="shared" si="9"/>
        <v>1.2771137026239066E-3</v>
      </c>
      <c r="AW46" s="176">
        <f t="shared" si="9"/>
        <v>0.15</v>
      </c>
      <c r="AX46" s="176">
        <f t="shared" si="9"/>
        <v>0</v>
      </c>
      <c r="AY46" s="176">
        <f t="shared" si="9"/>
        <v>0</v>
      </c>
      <c r="AZ46" s="176">
        <f t="shared" si="9"/>
        <v>0</v>
      </c>
      <c r="BA46" s="176">
        <f t="shared" si="9"/>
        <v>0.5</v>
      </c>
      <c r="BB46" s="176">
        <f t="shared" ref="BB46:BI46" si="10">+BB47+BB50</f>
        <v>0.9</v>
      </c>
      <c r="BC46" s="176">
        <f t="shared" si="10"/>
        <v>0.9</v>
      </c>
      <c r="BD46" s="176">
        <f t="shared" si="10"/>
        <v>1.1000000000000001</v>
      </c>
      <c r="BE46" s="176">
        <f t="shared" si="10"/>
        <v>0.35</v>
      </c>
      <c r="BF46" s="176">
        <f t="shared" si="10"/>
        <v>0.2</v>
      </c>
      <c r="BG46" s="176">
        <f t="shared" si="10"/>
        <v>8.7463556851311949E-2</v>
      </c>
      <c r="BH46" s="176">
        <f t="shared" si="10"/>
        <v>0.13119533527696792</v>
      </c>
      <c r="BI46" s="176">
        <f t="shared" si="10"/>
        <v>0.64577259475218662</v>
      </c>
      <c r="BJ46" s="176">
        <f t="shared" ref="BJ46:BR46" si="11">+BJ47+BJ50</f>
        <v>0.35</v>
      </c>
      <c r="BK46" s="176">
        <f t="shared" si="11"/>
        <v>0</v>
      </c>
      <c r="BL46" s="410">
        <f t="shared" si="11"/>
        <v>42.889775510204082</v>
      </c>
      <c r="BM46" s="410">
        <f t="shared" si="11"/>
        <v>0.2</v>
      </c>
      <c r="BN46" s="304">
        <f t="shared" si="11"/>
        <v>0.55000000000000004</v>
      </c>
      <c r="BO46" s="304">
        <f t="shared" si="11"/>
        <v>0.6</v>
      </c>
      <c r="BP46" s="304">
        <f t="shared" si="11"/>
        <v>23.377157208454815</v>
      </c>
      <c r="BQ46" s="304">
        <f t="shared" si="11"/>
        <v>118.84701221574343</v>
      </c>
      <c r="BR46" s="334">
        <f t="shared" si="11"/>
        <v>167.33179602623909</v>
      </c>
      <c r="BS46" s="424">
        <f t="shared" ref="BS46:CK46" si="12">+BS47+BS50</f>
        <v>120.92988466034986</v>
      </c>
      <c r="BT46" s="334">
        <f t="shared" si="12"/>
        <v>209.33883865597659</v>
      </c>
      <c r="BU46" s="455">
        <f t="shared" si="12"/>
        <v>87.879145138483906</v>
      </c>
      <c r="BV46" s="455">
        <f t="shared" si="12"/>
        <v>0.49577259475218655</v>
      </c>
      <c r="BW46" s="455">
        <f t="shared" si="12"/>
        <v>67.394652016034996</v>
      </c>
      <c r="BX46" s="455">
        <f t="shared" si="12"/>
        <v>0.24577259475218657</v>
      </c>
      <c r="BY46" s="334">
        <f t="shared" si="12"/>
        <v>14.107194333819198</v>
      </c>
      <c r="BZ46" s="455">
        <f t="shared" si="12"/>
        <v>0.45</v>
      </c>
      <c r="CA46" s="455">
        <f t="shared" si="12"/>
        <v>0.3</v>
      </c>
      <c r="CB46" s="334">
        <f t="shared" si="12"/>
        <v>0.40408163265306118</v>
      </c>
      <c r="CC46" s="455">
        <f t="shared" si="12"/>
        <v>72.245680758017485</v>
      </c>
      <c r="CD46" s="334">
        <f t="shared" si="12"/>
        <v>0.6</v>
      </c>
      <c r="CE46" s="334">
        <f t="shared" si="12"/>
        <v>0.55000000000000004</v>
      </c>
      <c r="CF46" s="334">
        <f t="shared" si="12"/>
        <v>0.4</v>
      </c>
      <c r="CG46" s="334">
        <f t="shared" si="12"/>
        <v>0.35</v>
      </c>
      <c r="CH46" s="334">
        <f t="shared" si="12"/>
        <v>0.71</v>
      </c>
      <c r="CI46" s="334">
        <f t="shared" si="12"/>
        <v>0.6426822157434402</v>
      </c>
      <c r="CJ46" s="334">
        <f t="shared" si="12"/>
        <v>0.62830903790087456</v>
      </c>
      <c r="CK46" s="334">
        <f t="shared" si="12"/>
        <v>0.65</v>
      </c>
      <c r="CL46" s="663">
        <f>+CL47+CL50</f>
        <v>0.38749271137026237</v>
      </c>
      <c r="CM46" s="663">
        <f>+CM47+CM50</f>
        <v>16.167346938775509</v>
      </c>
      <c r="CN46" s="663">
        <v>16.273007234693875</v>
      </c>
      <c r="CO46" s="663">
        <v>17.827638483965014</v>
      </c>
      <c r="CP46" s="712">
        <f>+CP47+CP50</f>
        <v>0.37492711370262433</v>
      </c>
      <c r="CQ46" s="712">
        <f>+CQ47+CQ50</f>
        <v>0</v>
      </c>
      <c r="CR46" s="663">
        <f>+CR47+CR50</f>
        <v>0</v>
      </c>
      <c r="CS46" s="712">
        <f>+CS47+CS50</f>
        <v>0.13078717201166179</v>
      </c>
      <c r="CT46" s="736">
        <v>7.3309037900874632E-2</v>
      </c>
      <c r="CU46" s="712">
        <f>+CU47+CU50</f>
        <v>20.174927113702623</v>
      </c>
      <c r="CV46" s="712">
        <f>+CV47+CV50</f>
        <v>33.221574344023324</v>
      </c>
      <c r="CW46" s="712">
        <f t="shared" ref="CW46:CZ46" si="13">+CW47+CW50</f>
        <v>31.641107871720116</v>
      </c>
      <c r="CX46" s="689">
        <f t="shared" si="13"/>
        <v>0</v>
      </c>
      <c r="CY46" s="689">
        <f t="shared" si="13"/>
        <v>0</v>
      </c>
      <c r="CZ46" s="689">
        <f t="shared" si="13"/>
        <v>0</v>
      </c>
      <c r="DA46" s="736">
        <f>+DA47+DA50</f>
        <v>0</v>
      </c>
      <c r="DB46" s="689">
        <f t="shared" ref="DB46" si="14">+DB47+DB50</f>
        <v>0</v>
      </c>
      <c r="DC46" s="689">
        <f>+DC47+DC50</f>
        <v>0</v>
      </c>
      <c r="DD46" s="689">
        <f>+DD47+DD50</f>
        <v>0</v>
      </c>
      <c r="DE46" s="689">
        <f>+DE47+DE50</f>
        <v>0</v>
      </c>
      <c r="DF46" s="736">
        <f>+DF47+DF50</f>
        <v>0</v>
      </c>
      <c r="DG46" s="689">
        <f t="shared" ref="DG46" si="15">+DG47+DG50</f>
        <v>0</v>
      </c>
      <c r="DH46" s="689">
        <f>+DH47+DH50</f>
        <v>0</v>
      </c>
      <c r="DI46" s="689">
        <f>+DI47+DI50</f>
        <v>0</v>
      </c>
      <c r="DJ46" s="689">
        <f>+DJ47+DJ50</f>
        <v>0</v>
      </c>
      <c r="DK46" s="736">
        <f>+DK47+DK50</f>
        <v>0</v>
      </c>
      <c r="DL46" s="689"/>
      <c r="DM46" s="689">
        <f>+DM47+DM50</f>
        <v>0</v>
      </c>
      <c r="DN46" s="689">
        <f>+DN47+DN50</f>
        <v>0</v>
      </c>
      <c r="DO46" s="689">
        <f>+DO47+DO50</f>
        <v>0</v>
      </c>
      <c r="DP46" s="663">
        <f>+DP47+DP50</f>
        <v>0</v>
      </c>
      <c r="DQ46" s="348" t="e">
        <f>DP46-#REF!</f>
        <v>#REF!</v>
      </c>
      <c r="DR46" s="869" t="e">
        <f>(+(DP46/#REF!-1))*100</f>
        <v>#REF!</v>
      </c>
      <c r="DS46" s="479"/>
      <c r="DT46" s="265"/>
    </row>
    <row r="47" spans="1:125" x14ac:dyDescent="0.2">
      <c r="A47" s="206"/>
      <c r="B47" s="908"/>
      <c r="C47" s="17"/>
      <c r="D47" s="22" t="s">
        <v>15</v>
      </c>
      <c r="E47" s="111">
        <f t="shared" ref="E47:AL47" si="16">+E48/E$85+E49</f>
        <v>0</v>
      </c>
      <c r="F47" s="111">
        <f t="shared" si="16"/>
        <v>0</v>
      </c>
      <c r="G47" s="111">
        <f t="shared" si="16"/>
        <v>0.78</v>
      </c>
      <c r="H47" s="111">
        <f t="shared" si="16"/>
        <v>0</v>
      </c>
      <c r="I47" s="111">
        <f t="shared" si="16"/>
        <v>0</v>
      </c>
      <c r="J47" s="111">
        <f t="shared" si="16"/>
        <v>5.7388809182209476E-2</v>
      </c>
      <c r="K47" s="111">
        <f t="shared" si="16"/>
        <v>0</v>
      </c>
      <c r="L47" s="111">
        <f t="shared" si="16"/>
        <v>0</v>
      </c>
      <c r="M47" s="110">
        <f t="shared" si="16"/>
        <v>0.03</v>
      </c>
      <c r="N47" s="111">
        <f t="shared" si="16"/>
        <v>0.02</v>
      </c>
      <c r="O47" s="111">
        <f t="shared" si="16"/>
        <v>0.02</v>
      </c>
      <c r="P47" s="160">
        <f t="shared" si="16"/>
        <v>0</v>
      </c>
      <c r="Q47" s="111">
        <f t="shared" si="16"/>
        <v>0</v>
      </c>
      <c r="R47" s="111">
        <f t="shared" si="16"/>
        <v>0</v>
      </c>
      <c r="S47" s="176">
        <f t="shared" si="16"/>
        <v>0</v>
      </c>
      <c r="T47" s="176">
        <f t="shared" si="16"/>
        <v>0</v>
      </c>
      <c r="U47" s="176">
        <f t="shared" si="16"/>
        <v>0</v>
      </c>
      <c r="V47" s="176">
        <f t="shared" si="16"/>
        <v>0</v>
      </c>
      <c r="W47" s="176">
        <f t="shared" si="16"/>
        <v>0</v>
      </c>
      <c r="X47" s="176">
        <f t="shared" si="16"/>
        <v>0</v>
      </c>
      <c r="Y47" s="176">
        <f t="shared" si="16"/>
        <v>0</v>
      </c>
      <c r="Z47" s="176">
        <f t="shared" si="16"/>
        <v>0</v>
      </c>
      <c r="AA47" s="176">
        <f t="shared" si="16"/>
        <v>0</v>
      </c>
      <c r="AB47" s="176">
        <f t="shared" si="16"/>
        <v>9.5504655172413792E-3</v>
      </c>
      <c r="AC47" s="176">
        <f t="shared" si="16"/>
        <v>15.950432276657061</v>
      </c>
      <c r="AD47" s="176">
        <f t="shared" si="16"/>
        <v>0</v>
      </c>
      <c r="AE47" s="176">
        <f t="shared" si="16"/>
        <v>0</v>
      </c>
      <c r="AF47" s="176">
        <f t="shared" si="16"/>
        <v>0</v>
      </c>
      <c r="AG47" s="176">
        <f t="shared" si="16"/>
        <v>0</v>
      </c>
      <c r="AH47" s="176">
        <f t="shared" si="16"/>
        <v>4.3541364296081275E-3</v>
      </c>
      <c r="AI47" s="176">
        <f t="shared" si="16"/>
        <v>0</v>
      </c>
      <c r="AJ47" s="176">
        <f t="shared" si="16"/>
        <v>7.2765647743813684</v>
      </c>
      <c r="AK47" s="176">
        <f t="shared" si="16"/>
        <v>0</v>
      </c>
      <c r="AL47" s="176">
        <f t="shared" si="16"/>
        <v>0</v>
      </c>
      <c r="AM47" s="176">
        <v>0</v>
      </c>
      <c r="AN47" s="176">
        <v>0</v>
      </c>
      <c r="AO47" s="176">
        <f>+AO48/AO$85+AO49</f>
        <v>0</v>
      </c>
      <c r="AP47" s="176">
        <v>0</v>
      </c>
      <c r="AQ47" s="176">
        <v>0</v>
      </c>
      <c r="AR47" s="176">
        <f t="shared" ref="AR47:BV47" si="17">+AR48/AR$85+AR49</f>
        <v>0</v>
      </c>
      <c r="AS47" s="176">
        <f t="shared" si="17"/>
        <v>0</v>
      </c>
      <c r="AT47" s="176">
        <f t="shared" si="17"/>
        <v>0.40466472303207002</v>
      </c>
      <c r="AU47" s="176">
        <f t="shared" si="17"/>
        <v>1.2771137026239066E-3</v>
      </c>
      <c r="AV47" s="338">
        <f t="shared" si="17"/>
        <v>1.2771137026239066E-3</v>
      </c>
      <c r="AW47" s="176">
        <f t="shared" si="17"/>
        <v>0.15</v>
      </c>
      <c r="AX47" s="176">
        <f t="shared" si="17"/>
        <v>0</v>
      </c>
      <c r="AY47" s="176">
        <f t="shared" si="17"/>
        <v>0</v>
      </c>
      <c r="AZ47" s="176">
        <f t="shared" si="17"/>
        <v>0</v>
      </c>
      <c r="BA47" s="176">
        <f t="shared" si="17"/>
        <v>0.5</v>
      </c>
      <c r="BB47" s="176">
        <f t="shared" si="17"/>
        <v>0.9</v>
      </c>
      <c r="BC47" s="176">
        <f t="shared" si="17"/>
        <v>0.9</v>
      </c>
      <c r="BD47" s="176">
        <f t="shared" si="17"/>
        <v>1.1000000000000001</v>
      </c>
      <c r="BE47" s="176">
        <f t="shared" si="17"/>
        <v>0.35</v>
      </c>
      <c r="BF47" s="176">
        <f t="shared" si="17"/>
        <v>0.2</v>
      </c>
      <c r="BG47" s="176">
        <f t="shared" si="17"/>
        <v>8.7463556851311949E-2</v>
      </c>
      <c r="BH47" s="176">
        <f t="shared" si="17"/>
        <v>0.13119533527696792</v>
      </c>
      <c r="BI47" s="176">
        <f t="shared" si="17"/>
        <v>0.64577259475218662</v>
      </c>
      <c r="BJ47" s="176">
        <f t="shared" si="17"/>
        <v>0.35</v>
      </c>
      <c r="BK47" s="176">
        <f t="shared" si="17"/>
        <v>0</v>
      </c>
      <c r="BL47" s="410">
        <f t="shared" si="17"/>
        <v>0.2</v>
      </c>
      <c r="BM47" s="410">
        <f t="shared" si="17"/>
        <v>0.2</v>
      </c>
      <c r="BN47" s="304">
        <f t="shared" si="17"/>
        <v>0.55000000000000004</v>
      </c>
      <c r="BO47" s="304">
        <f t="shared" si="17"/>
        <v>0.6</v>
      </c>
      <c r="BP47" s="304">
        <f t="shared" si="17"/>
        <v>1.1000000000000001</v>
      </c>
      <c r="BQ47" s="304">
        <f t="shared" si="17"/>
        <v>0.7</v>
      </c>
      <c r="BR47" s="334">
        <f t="shared" si="17"/>
        <v>0.47288629737609333</v>
      </c>
      <c r="BS47" s="424">
        <f t="shared" si="17"/>
        <v>0.25</v>
      </c>
      <c r="BT47" s="334">
        <f t="shared" si="17"/>
        <v>0</v>
      </c>
      <c r="BU47" s="455">
        <f t="shared" si="17"/>
        <v>5.0736151603498545</v>
      </c>
      <c r="BV47" s="455">
        <f t="shared" si="17"/>
        <v>0.49577259475218655</v>
      </c>
      <c r="BW47" s="455">
        <f t="shared" ref="BW47:CK47" si="18">+BW48/BW$85+BW49</f>
        <v>0.35830903790087465</v>
      </c>
      <c r="BX47" s="455">
        <f t="shared" si="18"/>
        <v>0.24577259475218657</v>
      </c>
      <c r="BY47" s="334">
        <f t="shared" si="18"/>
        <v>5.0606413994169088</v>
      </c>
      <c r="BZ47" s="455">
        <f t="shared" si="18"/>
        <v>0.45</v>
      </c>
      <c r="CA47" s="455">
        <f t="shared" si="18"/>
        <v>0.3</v>
      </c>
      <c r="CB47" s="334">
        <f t="shared" si="18"/>
        <v>0.40408163265306118</v>
      </c>
      <c r="CC47" s="455">
        <f t="shared" si="18"/>
        <v>0.7</v>
      </c>
      <c r="CD47" s="334">
        <f t="shared" si="18"/>
        <v>0.6</v>
      </c>
      <c r="CE47" s="334">
        <f t="shared" si="18"/>
        <v>0.55000000000000004</v>
      </c>
      <c r="CF47" s="334">
        <f t="shared" si="18"/>
        <v>0.4</v>
      </c>
      <c r="CG47" s="334">
        <f t="shared" si="18"/>
        <v>0.35</v>
      </c>
      <c r="CH47" s="334">
        <f t="shared" si="18"/>
        <v>0.71</v>
      </c>
      <c r="CI47" s="334">
        <f t="shared" si="18"/>
        <v>0.6426822157434402</v>
      </c>
      <c r="CJ47" s="334">
        <f t="shared" si="18"/>
        <v>0.62830903790087456</v>
      </c>
      <c r="CK47" s="334">
        <f t="shared" si="18"/>
        <v>0.65</v>
      </c>
      <c r="CL47" s="663">
        <f>+CL48/CL$85+CL49</f>
        <v>0.38749271137026237</v>
      </c>
      <c r="CM47" s="663">
        <f>+CM48/CM$85+CM49</f>
        <v>16.167346938775509</v>
      </c>
      <c r="CN47" s="663">
        <v>16.273007234693875</v>
      </c>
      <c r="CO47" s="663">
        <v>17.827638483965014</v>
      </c>
      <c r="CP47" s="712">
        <f>+CP48/CP$85+CP49</f>
        <v>0.37492711370262433</v>
      </c>
      <c r="CQ47" s="712">
        <f>+CQ48/CQ$85+CQ49</f>
        <v>0</v>
      </c>
      <c r="CR47" s="663">
        <f>+CR48/CR$85+CR49</f>
        <v>0</v>
      </c>
      <c r="CS47" s="712">
        <f>+CS48/CS$85+CS49</f>
        <v>0.13078717201166179</v>
      </c>
      <c r="CT47" s="736">
        <v>7.3309037900874632E-2</v>
      </c>
      <c r="CU47" s="712">
        <f>+CU48/CU$85+CU49</f>
        <v>20.174927113702623</v>
      </c>
      <c r="CV47" s="712">
        <f>+CV48/CV$85+CV49</f>
        <v>33.221574344023324</v>
      </c>
      <c r="CW47" s="712">
        <f t="shared" ref="CW47:CZ47" si="19">+CW48/CW$85+CW49</f>
        <v>31.641107871720116</v>
      </c>
      <c r="CX47" s="689">
        <f t="shared" si="19"/>
        <v>0</v>
      </c>
      <c r="CY47" s="689">
        <f t="shared" si="19"/>
        <v>0</v>
      </c>
      <c r="CZ47" s="689">
        <f t="shared" si="19"/>
        <v>0</v>
      </c>
      <c r="DA47" s="736">
        <f>+DA48/DA$85+DA49</f>
        <v>0</v>
      </c>
      <c r="DB47" s="689">
        <f t="shared" ref="DB47" si="20">+DB48/DB$85+DB49</f>
        <v>0</v>
      </c>
      <c r="DC47" s="689">
        <f>+DC48/DC$85+DC49</f>
        <v>0</v>
      </c>
      <c r="DD47" s="689">
        <f>+DD48/DD$85+DD49</f>
        <v>0</v>
      </c>
      <c r="DE47" s="689">
        <f>+DE48/DE$85+DE49</f>
        <v>0</v>
      </c>
      <c r="DF47" s="736">
        <f>+DF48/DF$85+DF49</f>
        <v>0</v>
      </c>
      <c r="DG47" s="689">
        <f t="shared" ref="DG47" si="21">+DG48/DG$85+DG49</f>
        <v>0</v>
      </c>
      <c r="DH47" s="689">
        <f>+DH48/DH$85+DH49</f>
        <v>0</v>
      </c>
      <c r="DI47" s="689">
        <f>+DI48/DI$85+DI49</f>
        <v>0</v>
      </c>
      <c r="DJ47" s="689">
        <f>+DJ48/DJ$85+DJ49</f>
        <v>0</v>
      </c>
      <c r="DK47" s="736">
        <f>+DK48/DK$85+DK49</f>
        <v>0</v>
      </c>
      <c r="DL47" s="689"/>
      <c r="DM47" s="689">
        <f>+DM48/DM$85+DM49</f>
        <v>0</v>
      </c>
      <c r="DN47" s="689">
        <f>+DN48/DN$85+DN49</f>
        <v>0</v>
      </c>
      <c r="DO47" s="689">
        <f>+DO48/DO$85+DO49</f>
        <v>0</v>
      </c>
      <c r="DP47" s="663">
        <f>+DP48/DP$85+DP49</f>
        <v>0</v>
      </c>
      <c r="DQ47" s="348" t="e">
        <f>DP47-#REF!</f>
        <v>#REF!</v>
      </c>
      <c r="DR47" s="869" t="e">
        <f>(+(DP47/#REF!-1))*100</f>
        <v>#REF!</v>
      </c>
      <c r="DS47" s="479"/>
      <c r="DT47" s="628"/>
    </row>
    <row r="48" spans="1:125" ht="12.75" customHeight="1" outlineLevel="1" x14ac:dyDescent="0.2">
      <c r="A48" s="206"/>
      <c r="B48" s="908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736">
        <v>0</v>
      </c>
      <c r="DB48" s="689">
        <v>0</v>
      </c>
      <c r="DC48" s="689">
        <v>0</v>
      </c>
      <c r="DD48" s="689">
        <v>0</v>
      </c>
      <c r="DE48" s="689">
        <v>0</v>
      </c>
      <c r="DF48" s="736">
        <v>0</v>
      </c>
      <c r="DG48" s="689">
        <v>0</v>
      </c>
      <c r="DH48" s="689">
        <v>0</v>
      </c>
      <c r="DI48" s="689">
        <v>0</v>
      </c>
      <c r="DJ48" s="689">
        <v>0</v>
      </c>
      <c r="DK48" s="736">
        <v>0</v>
      </c>
      <c r="DL48" s="689"/>
      <c r="DM48" s="689">
        <v>0</v>
      </c>
      <c r="DN48" s="689">
        <v>0</v>
      </c>
      <c r="DO48" s="689">
        <v>0</v>
      </c>
      <c r="DP48" s="663">
        <v>0</v>
      </c>
      <c r="DQ48" s="348" t="e">
        <f>DP48-#REF!</f>
        <v>#REF!</v>
      </c>
      <c r="DR48" s="869"/>
      <c r="DS48" s="749"/>
      <c r="DT48" s="628"/>
    </row>
    <row r="49" spans="1:127" ht="12.75" customHeight="1" outlineLevel="1" x14ac:dyDescent="0.2">
      <c r="A49" s="206"/>
      <c r="B49" s="908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736">
        <v>0</v>
      </c>
      <c r="DB49" s="689">
        <v>0</v>
      </c>
      <c r="DC49" s="689">
        <v>0</v>
      </c>
      <c r="DD49" s="689">
        <v>0</v>
      </c>
      <c r="DE49" s="689">
        <v>0</v>
      </c>
      <c r="DF49" s="736">
        <v>0</v>
      </c>
      <c r="DG49" s="689">
        <v>0</v>
      </c>
      <c r="DH49" s="689">
        <v>0</v>
      </c>
      <c r="DI49" s="689">
        <v>0</v>
      </c>
      <c r="DJ49" s="689">
        <v>0</v>
      </c>
      <c r="DK49" s="736">
        <v>0</v>
      </c>
      <c r="DL49" s="689"/>
      <c r="DM49" s="689">
        <v>0</v>
      </c>
      <c r="DN49" s="689">
        <v>0</v>
      </c>
      <c r="DO49" s="689">
        <v>0</v>
      </c>
      <c r="DP49" s="663">
        <v>0</v>
      </c>
      <c r="DQ49" s="348" t="e">
        <f>DP49-#REF!</f>
        <v>#REF!</v>
      </c>
      <c r="DR49" s="869" t="e">
        <f>(+(DP49/#REF!-1))*100</f>
        <v>#REF!</v>
      </c>
      <c r="DS49" s="479"/>
      <c r="DT49" s="628"/>
    </row>
    <row r="50" spans="1:127" x14ac:dyDescent="0.2">
      <c r="A50" s="206"/>
      <c r="B50" s="908"/>
      <c r="C50" s="17"/>
      <c r="D50" s="22" t="s">
        <v>30</v>
      </c>
      <c r="E50" s="111">
        <f t="shared" ref="E50:AI50" si="22">+E51/E$85+E52</f>
        <v>3.5868005738880919</v>
      </c>
      <c r="F50" s="111">
        <f t="shared" si="22"/>
        <v>0</v>
      </c>
      <c r="G50" s="111">
        <f t="shared" si="22"/>
        <v>3.5494978479196555</v>
      </c>
      <c r="H50" s="111">
        <f t="shared" si="22"/>
        <v>0</v>
      </c>
      <c r="I50" s="111">
        <f t="shared" si="22"/>
        <v>0</v>
      </c>
      <c r="J50" s="111">
        <f t="shared" si="22"/>
        <v>0</v>
      </c>
      <c r="K50" s="111">
        <f t="shared" si="22"/>
        <v>0</v>
      </c>
      <c r="L50" s="111">
        <f t="shared" si="22"/>
        <v>0</v>
      </c>
      <c r="M50" s="110">
        <f t="shared" si="22"/>
        <v>0</v>
      </c>
      <c r="N50" s="111">
        <f t="shared" si="22"/>
        <v>0</v>
      </c>
      <c r="O50" s="111">
        <f t="shared" si="22"/>
        <v>0</v>
      </c>
      <c r="P50" s="160">
        <f t="shared" si="22"/>
        <v>0</v>
      </c>
      <c r="Q50" s="111">
        <f t="shared" si="22"/>
        <v>0</v>
      </c>
      <c r="R50" s="111">
        <f t="shared" si="22"/>
        <v>0</v>
      </c>
      <c r="S50" s="176">
        <f t="shared" si="22"/>
        <v>0</v>
      </c>
      <c r="T50" s="176">
        <f t="shared" si="22"/>
        <v>0</v>
      </c>
      <c r="U50" s="176">
        <f t="shared" si="22"/>
        <v>0</v>
      </c>
      <c r="V50" s="176">
        <f t="shared" si="22"/>
        <v>0</v>
      </c>
      <c r="W50" s="176">
        <f t="shared" si="22"/>
        <v>0</v>
      </c>
      <c r="X50" s="176">
        <f t="shared" si="22"/>
        <v>0</v>
      </c>
      <c r="Y50" s="176">
        <f t="shared" si="22"/>
        <v>0</v>
      </c>
      <c r="Z50" s="176">
        <f t="shared" si="22"/>
        <v>0</v>
      </c>
      <c r="AA50" s="176">
        <f t="shared" si="22"/>
        <v>0</v>
      </c>
      <c r="AB50" s="176">
        <f t="shared" si="22"/>
        <v>0</v>
      </c>
      <c r="AC50" s="176">
        <f t="shared" si="22"/>
        <v>0</v>
      </c>
      <c r="AD50" s="176">
        <f t="shared" si="22"/>
        <v>0</v>
      </c>
      <c r="AE50" s="176">
        <f t="shared" si="22"/>
        <v>0</v>
      </c>
      <c r="AF50" s="176">
        <f t="shared" si="22"/>
        <v>0</v>
      </c>
      <c r="AG50" s="176">
        <f t="shared" si="22"/>
        <v>3.6269956458635702</v>
      </c>
      <c r="AH50" s="176">
        <f t="shared" si="22"/>
        <v>18.13933236574746</v>
      </c>
      <c r="AI50" s="176">
        <f t="shared" si="22"/>
        <v>0</v>
      </c>
      <c r="AJ50" s="176">
        <v>0</v>
      </c>
      <c r="AK50" s="176">
        <v>0</v>
      </c>
      <c r="AL50" s="176">
        <f>+AL51/AL$85+AL52</f>
        <v>0</v>
      </c>
      <c r="AM50" s="176">
        <v>0</v>
      </c>
      <c r="AN50" s="176">
        <v>0</v>
      </c>
      <c r="AO50" s="176">
        <f>+AO51/AO$85+AO52</f>
        <v>0</v>
      </c>
      <c r="AP50" s="176">
        <v>0</v>
      </c>
      <c r="AQ50" s="176">
        <v>0</v>
      </c>
      <c r="AR50" s="176">
        <f>+AR51/AR$85+AR52</f>
        <v>0</v>
      </c>
      <c r="AS50" s="176">
        <f>+AS51/AS$85+AS52</f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f t="shared" ref="AY50:BV50" si="23">+AY51/AY$85+AY52</f>
        <v>0</v>
      </c>
      <c r="AZ50" s="176">
        <f t="shared" si="23"/>
        <v>0</v>
      </c>
      <c r="BA50" s="176">
        <f t="shared" si="23"/>
        <v>0</v>
      </c>
      <c r="BB50" s="176">
        <f t="shared" si="23"/>
        <v>0</v>
      </c>
      <c r="BC50" s="176">
        <f t="shared" si="23"/>
        <v>0</v>
      </c>
      <c r="BD50" s="176">
        <f t="shared" si="23"/>
        <v>0</v>
      </c>
      <c r="BE50" s="176">
        <f t="shared" si="23"/>
        <v>0</v>
      </c>
      <c r="BF50" s="176">
        <f t="shared" si="23"/>
        <v>0</v>
      </c>
      <c r="BG50" s="176">
        <f t="shared" si="23"/>
        <v>0</v>
      </c>
      <c r="BH50" s="176">
        <f t="shared" si="23"/>
        <v>0</v>
      </c>
      <c r="BI50" s="176">
        <f t="shared" si="23"/>
        <v>0</v>
      </c>
      <c r="BJ50" s="176">
        <f t="shared" si="23"/>
        <v>0</v>
      </c>
      <c r="BK50" s="176">
        <f t="shared" si="23"/>
        <v>0</v>
      </c>
      <c r="BL50" s="410">
        <f t="shared" si="23"/>
        <v>42.689775510204079</v>
      </c>
      <c r="BM50" s="176">
        <f t="shared" si="23"/>
        <v>0</v>
      </c>
      <c r="BN50" s="304">
        <f t="shared" si="23"/>
        <v>0</v>
      </c>
      <c r="BO50" s="304">
        <f t="shared" si="23"/>
        <v>0</v>
      </c>
      <c r="BP50" s="304">
        <f t="shared" si="23"/>
        <v>22.277157208454813</v>
      </c>
      <c r="BQ50" s="304">
        <f t="shared" si="23"/>
        <v>118.14701221574343</v>
      </c>
      <c r="BR50" s="334">
        <f t="shared" si="23"/>
        <v>166.85890972886298</v>
      </c>
      <c r="BS50" s="424">
        <f t="shared" si="23"/>
        <v>120.67988466034986</v>
      </c>
      <c r="BT50" s="334">
        <f t="shared" si="23"/>
        <v>209.33883865597659</v>
      </c>
      <c r="BU50" s="455">
        <f t="shared" si="23"/>
        <v>82.805529978134047</v>
      </c>
      <c r="BV50" s="455">
        <f t="shared" si="23"/>
        <v>0</v>
      </c>
      <c r="BW50" s="455">
        <f t="shared" ref="BW50:CK50" si="24">+BW51/BW$85+BW52</f>
        <v>67.036342978134115</v>
      </c>
      <c r="BX50" s="455">
        <f t="shared" si="24"/>
        <v>0</v>
      </c>
      <c r="BY50" s="334">
        <f t="shared" si="24"/>
        <v>9.046552934402289</v>
      </c>
      <c r="BZ50" s="455">
        <f t="shared" si="24"/>
        <v>0</v>
      </c>
      <c r="CA50" s="455">
        <f t="shared" si="24"/>
        <v>0</v>
      </c>
      <c r="CB50" s="334">
        <f t="shared" si="24"/>
        <v>0</v>
      </c>
      <c r="CC50" s="455">
        <f t="shared" si="24"/>
        <v>71.545680758017483</v>
      </c>
      <c r="CD50" s="334">
        <f t="shared" si="24"/>
        <v>0</v>
      </c>
      <c r="CE50" s="334">
        <f t="shared" si="24"/>
        <v>0</v>
      </c>
      <c r="CF50" s="334">
        <f t="shared" si="24"/>
        <v>0</v>
      </c>
      <c r="CG50" s="334">
        <f t="shared" si="24"/>
        <v>0</v>
      </c>
      <c r="CH50" s="334">
        <f t="shared" si="24"/>
        <v>0</v>
      </c>
      <c r="CI50" s="334">
        <f t="shared" si="24"/>
        <v>0</v>
      </c>
      <c r="CJ50" s="334">
        <f t="shared" si="24"/>
        <v>0</v>
      </c>
      <c r="CK50" s="334">
        <f t="shared" si="24"/>
        <v>0</v>
      </c>
      <c r="CL50" s="663">
        <f>+CL51/CL$85+CL52</f>
        <v>0</v>
      </c>
      <c r="CM50" s="663">
        <f>+CM51/CM$85+CM52</f>
        <v>0</v>
      </c>
      <c r="CN50" s="663">
        <v>0</v>
      </c>
      <c r="CO50" s="663">
        <v>0</v>
      </c>
      <c r="CP50" s="712">
        <f>+CP51/CP$85+CP52</f>
        <v>0</v>
      </c>
      <c r="CQ50" s="712">
        <f>+CQ51/CQ$85+CQ52</f>
        <v>0</v>
      </c>
      <c r="CR50" s="663">
        <f>+CR51/CR$85+CR52</f>
        <v>0</v>
      </c>
      <c r="CS50" s="712">
        <f>+CS51/CS$85+CS52</f>
        <v>0</v>
      </c>
      <c r="CT50" s="736">
        <v>0</v>
      </c>
      <c r="CU50" s="712">
        <f>+CU51/CU$85+CU52</f>
        <v>0</v>
      </c>
      <c r="CV50" s="712">
        <f>+CV51/CV$85+CV52</f>
        <v>0</v>
      </c>
      <c r="CW50" s="712">
        <f t="shared" ref="CW50:CZ50" si="25">+CW51/CW$85+CW52</f>
        <v>0</v>
      </c>
      <c r="CX50" s="689">
        <f t="shared" si="25"/>
        <v>0</v>
      </c>
      <c r="CY50" s="689">
        <f t="shared" si="25"/>
        <v>0</v>
      </c>
      <c r="CZ50" s="689">
        <f t="shared" si="25"/>
        <v>0</v>
      </c>
      <c r="DA50" s="736">
        <f>+DA51/DA$85+DA52</f>
        <v>0</v>
      </c>
      <c r="DB50" s="689">
        <f t="shared" ref="DB50" si="26">+DB51/DB$85+DB52</f>
        <v>0</v>
      </c>
      <c r="DC50" s="689">
        <f>+DC51/DC$85+DC52</f>
        <v>0</v>
      </c>
      <c r="DD50" s="689">
        <f>+DD51/DD$85+DD52</f>
        <v>0</v>
      </c>
      <c r="DE50" s="689">
        <f>+DE51/DE$85+DE52</f>
        <v>0</v>
      </c>
      <c r="DF50" s="736">
        <f>+DF51/DF$85+DF52</f>
        <v>0</v>
      </c>
      <c r="DG50" s="689">
        <f t="shared" ref="DG50" si="27">+DG51/DG$85+DG52</f>
        <v>0</v>
      </c>
      <c r="DH50" s="689">
        <f>+DH51/DH$85+DH52</f>
        <v>0</v>
      </c>
      <c r="DI50" s="689">
        <f>+DI51/DI$85+DI52</f>
        <v>0</v>
      </c>
      <c r="DJ50" s="689">
        <f>+DJ51/DJ$85+DJ52</f>
        <v>0</v>
      </c>
      <c r="DK50" s="736">
        <f>+DK51/DK$85+DK52</f>
        <v>0</v>
      </c>
      <c r="DL50" s="689"/>
      <c r="DM50" s="689">
        <f>+DM51/DM$85+DM52</f>
        <v>0</v>
      </c>
      <c r="DN50" s="689">
        <f>+DN51/DN$85+DN52</f>
        <v>0</v>
      </c>
      <c r="DO50" s="689">
        <f>+DO51/DO$85+DO52</f>
        <v>0</v>
      </c>
      <c r="DP50" s="663">
        <f>+DP51/DP$85+DP52</f>
        <v>0</v>
      </c>
      <c r="DQ50" s="348" t="e">
        <f>DP50-#REF!</f>
        <v>#REF!</v>
      </c>
      <c r="DR50" s="869" t="e">
        <f>(+(DP50/#REF!-1))*100</f>
        <v>#REF!</v>
      </c>
      <c r="DS50" s="479"/>
      <c r="DT50" s="265"/>
    </row>
    <row r="51" spans="1:127" ht="12.75" customHeight="1" outlineLevel="1" x14ac:dyDescent="0.2">
      <c r="A51" s="206"/>
      <c r="B51" s="908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736">
        <v>0</v>
      </c>
      <c r="DB51" s="689">
        <v>0</v>
      </c>
      <c r="DC51" s="689">
        <v>0</v>
      </c>
      <c r="DD51" s="689">
        <v>0</v>
      </c>
      <c r="DE51" s="689">
        <v>0</v>
      </c>
      <c r="DF51" s="736">
        <v>0</v>
      </c>
      <c r="DG51" s="689">
        <v>0</v>
      </c>
      <c r="DH51" s="689">
        <v>0</v>
      </c>
      <c r="DI51" s="689">
        <v>0</v>
      </c>
      <c r="DJ51" s="689">
        <v>0</v>
      </c>
      <c r="DK51" s="736">
        <v>0</v>
      </c>
      <c r="DL51" s="689"/>
      <c r="DM51" s="689">
        <v>0</v>
      </c>
      <c r="DN51" s="689">
        <v>0</v>
      </c>
      <c r="DO51" s="689">
        <v>0</v>
      </c>
      <c r="DP51" s="663">
        <v>0</v>
      </c>
      <c r="DQ51" s="348" t="e">
        <f>DP51-#REF!</f>
        <v>#REF!</v>
      </c>
      <c r="DR51" s="869" t="e">
        <f>(+(DP51/#REF!-1))*100</f>
        <v>#REF!</v>
      </c>
      <c r="DS51" s="479"/>
      <c r="DT51" s="265"/>
    </row>
    <row r="52" spans="1:127" ht="12.75" customHeight="1" outlineLevel="1" thickBot="1" x14ac:dyDescent="0.25">
      <c r="A52" s="206"/>
      <c r="B52" s="908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4">
        <v>0</v>
      </c>
      <c r="DB52" s="776">
        <v>0</v>
      </c>
      <c r="DC52" s="776">
        <v>0</v>
      </c>
      <c r="DD52" s="776">
        <v>0</v>
      </c>
      <c r="DE52" s="776">
        <v>0</v>
      </c>
      <c r="DF52" s="774">
        <v>0</v>
      </c>
      <c r="DG52" s="776">
        <v>0</v>
      </c>
      <c r="DH52" s="776">
        <v>0</v>
      </c>
      <c r="DI52" s="776">
        <v>0</v>
      </c>
      <c r="DJ52" s="776">
        <v>0</v>
      </c>
      <c r="DK52" s="774">
        <v>0</v>
      </c>
      <c r="DL52" s="776"/>
      <c r="DM52" s="776">
        <v>0</v>
      </c>
      <c r="DN52" s="776">
        <v>0</v>
      </c>
      <c r="DO52" s="776">
        <v>0</v>
      </c>
      <c r="DP52" s="774">
        <v>0</v>
      </c>
      <c r="DQ52" s="551" t="e">
        <f>DP52-#REF!</f>
        <v>#REF!</v>
      </c>
      <c r="DR52" s="870" t="e">
        <f>(+(DP52/#REF!-1))*100</f>
        <v>#REF!</v>
      </c>
      <c r="DS52" s="479"/>
      <c r="DT52" s="265"/>
    </row>
    <row r="53" spans="1:127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373"/>
      <c r="DB53" s="171"/>
      <c r="DC53" s="171"/>
      <c r="DD53" s="171"/>
      <c r="DE53" s="171"/>
      <c r="DF53" s="373"/>
      <c r="DG53" s="171"/>
      <c r="DH53" s="171"/>
      <c r="DI53" s="171"/>
      <c r="DJ53" s="171"/>
      <c r="DK53" s="373"/>
      <c r="DL53" s="171"/>
      <c r="DM53" s="171"/>
      <c r="DN53" s="171"/>
      <c r="DO53" s="171"/>
      <c r="DP53" s="669"/>
      <c r="DQ53" s="547"/>
      <c r="DR53" s="735"/>
      <c r="DS53" s="479"/>
      <c r="DT53" s="821"/>
      <c r="DU53" s="202"/>
    </row>
    <row r="54" spans="1:127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23763.312968020411</v>
      </c>
      <c r="CX54" s="425">
        <v>23758.119580297807</v>
      </c>
      <c r="CY54" s="425">
        <v>23857.152079274478</v>
      </c>
      <c r="CZ54" s="425">
        <v>23778.909837191382</v>
      </c>
      <c r="DA54" s="457">
        <v>23875.735281426078</v>
      </c>
      <c r="DB54" s="425">
        <v>23758.617282533953</v>
      </c>
      <c r="DC54" s="425">
        <v>23779.623579399835</v>
      </c>
      <c r="DD54" s="425">
        <v>23789.289139487308</v>
      </c>
      <c r="DE54" s="425">
        <v>23803.22094561996</v>
      </c>
      <c r="DF54" s="457">
        <v>23777.641902274481</v>
      </c>
      <c r="DG54" s="425">
        <v>23687.45619949605</v>
      </c>
      <c r="DH54" s="425">
        <v>23571.687178943579</v>
      </c>
      <c r="DI54" s="425">
        <v>23602.536492369225</v>
      </c>
      <c r="DJ54" s="425">
        <v>23573.318641007714</v>
      </c>
      <c r="DK54" s="457">
        <v>23542.069250593719</v>
      </c>
      <c r="DL54" s="425"/>
      <c r="DM54" s="425">
        <v>23468.015469143284</v>
      </c>
      <c r="DN54" s="425">
        <v>23456.944545372142</v>
      </c>
      <c r="DO54" s="425">
        <v>23571.252203289056</v>
      </c>
      <c r="DP54" s="662">
        <v>23540.635733096635</v>
      </c>
      <c r="DQ54" s="348" t="e">
        <f>DP54-#REF!</f>
        <v>#REF!</v>
      </c>
      <c r="DR54" s="744" t="e">
        <f>(+(DP54/#REF!-1))*100</f>
        <v>#REF!</v>
      </c>
      <c r="DS54" s="885"/>
      <c r="DT54" s="820"/>
      <c r="DU54" s="202"/>
    </row>
    <row r="55" spans="1:127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85.072789630089474</v>
      </c>
      <c r="CX55" s="688">
        <v>85.019201594960151</v>
      </c>
      <c r="CY55" s="688">
        <v>85.057093034580646</v>
      </c>
      <c r="CZ55" s="688">
        <v>84.995796197420319</v>
      </c>
      <c r="DA55" s="738">
        <v>85.063048834170132</v>
      </c>
      <c r="DB55" s="688">
        <v>85.032812384133734</v>
      </c>
      <c r="DC55" s="688">
        <v>85.009349950163809</v>
      </c>
      <c r="DD55" s="688">
        <v>85.044397195108786</v>
      </c>
      <c r="DE55" s="688">
        <v>85.036325293679425</v>
      </c>
      <c r="DF55" s="738">
        <v>84.978037894468699</v>
      </c>
      <c r="DG55" s="688">
        <v>84.958055770220014</v>
      </c>
      <c r="DH55" s="688">
        <v>84.899199330536291</v>
      </c>
      <c r="DI55" s="688">
        <v>84.865752999172742</v>
      </c>
      <c r="DJ55" s="688">
        <v>84.887832632168369</v>
      </c>
      <c r="DK55" s="738">
        <v>84.852549791935388</v>
      </c>
      <c r="DL55" s="688">
        <v>0</v>
      </c>
      <c r="DM55" s="688">
        <v>84.583925221615004</v>
      </c>
      <c r="DN55" s="688">
        <v>84.567381676326804</v>
      </c>
      <c r="DO55" s="688">
        <v>84.606402285198001</v>
      </c>
      <c r="DP55" s="656">
        <v>84.610991810030598</v>
      </c>
      <c r="DQ55" s="348" t="e">
        <f>DP55-#REF!</f>
        <v>#REF!</v>
      </c>
      <c r="DR55" s="744" t="e">
        <f>(+(DP55/#REF!-1))*100</f>
        <v>#REF!</v>
      </c>
      <c r="DS55" s="884"/>
      <c r="DT55" s="628" t="s">
        <v>234</v>
      </c>
      <c r="DU55" s="202"/>
    </row>
    <row r="56" spans="1:127" ht="12.75" customHeight="1" x14ac:dyDescent="0.2">
      <c r="A56" s="206"/>
      <c r="B56" s="907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22461.952079313414</v>
      </c>
      <c r="CX56" s="425">
        <v>22454.621452345909</v>
      </c>
      <c r="CY56" s="425">
        <v>22550.996757482932</v>
      </c>
      <c r="CZ56" s="425">
        <v>22470.43028759518</v>
      </c>
      <c r="DA56" s="457">
        <v>22566.079025891097</v>
      </c>
      <c r="DB56" s="425">
        <v>22445.586594313834</v>
      </c>
      <c r="DC56" s="425">
        <v>22464.656126931914</v>
      </c>
      <c r="DD56" s="425">
        <v>22472.589433752615</v>
      </c>
      <c r="DE56" s="425">
        <v>22485.35954055436</v>
      </c>
      <c r="DF56" s="457">
        <v>22458.39955589547</v>
      </c>
      <c r="DG56" s="425">
        <v>22365.444498564564</v>
      </c>
      <c r="DH56" s="425">
        <v>22247.913778681181</v>
      </c>
      <c r="DI56" s="425">
        <v>22276.927631842987</v>
      </c>
      <c r="DJ56" s="425">
        <v>22246.350559284685</v>
      </c>
      <c r="DK56" s="457">
        <v>22213.416874787596</v>
      </c>
      <c r="DL56" s="425"/>
      <c r="DM56" s="425">
        <v>22136.633788724914</v>
      </c>
      <c r="DN56" s="425">
        <v>22124.129153961068</v>
      </c>
      <c r="DO56" s="425">
        <v>22236.211847240953</v>
      </c>
      <c r="DP56" s="662">
        <v>22202.941112119956</v>
      </c>
      <c r="DQ56" s="348" t="e">
        <f>DP56-#REF!</f>
        <v>#REF!</v>
      </c>
      <c r="DR56" s="744" t="e">
        <f>(+(DP56/#REF!-1))*100</f>
        <v>#REF!</v>
      </c>
      <c r="DS56" s="885"/>
      <c r="DT56" s="819"/>
      <c r="DU56" s="822"/>
    </row>
    <row r="57" spans="1:127" ht="12.75" customHeight="1" x14ac:dyDescent="0.2">
      <c r="A57" s="206"/>
      <c r="B57" s="907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84.174236756067486</v>
      </c>
      <c r="CX57" s="688">
        <v>84.115626903783138</v>
      </c>
      <c r="CY57" s="688">
        <v>84.157850739359432</v>
      </c>
      <c r="CZ57" s="688">
        <v>84.087942764531974</v>
      </c>
      <c r="DA57" s="738">
        <v>84.162326413845236</v>
      </c>
      <c r="DB57" s="688">
        <v>84.123335681761787</v>
      </c>
      <c r="DC57" s="688">
        <v>84.096110607678227</v>
      </c>
      <c r="DD57" s="688">
        <v>84.13143811434432</v>
      </c>
      <c r="DE57" s="688">
        <v>84.12262001058653</v>
      </c>
      <c r="DF57" s="738">
        <v>84.058751422405933</v>
      </c>
      <c r="DG57" s="688">
        <v>84.030924623534517</v>
      </c>
      <c r="DH57" s="688">
        <v>83.965254777509173</v>
      </c>
      <c r="DI57" s="688">
        <v>83.929546198256972</v>
      </c>
      <c r="DJ57" s="688">
        <v>83.950590513705095</v>
      </c>
      <c r="DK57" s="738">
        <v>83.911301746866556</v>
      </c>
      <c r="DL57" s="688">
        <v>0</v>
      </c>
      <c r="DM57" s="688">
        <v>83.85183592064736</v>
      </c>
      <c r="DN57" s="688">
        <v>83.835385255985955</v>
      </c>
      <c r="DO57" s="688">
        <v>83.877887319982051</v>
      </c>
      <c r="DP57" s="656">
        <v>83.863719485408836</v>
      </c>
      <c r="DQ57" s="348" t="e">
        <f>DP57-#REF!</f>
        <v>#REF!</v>
      </c>
      <c r="DR57" s="744" t="e">
        <f>(+(DP57/#REF!-1))*100</f>
        <v>#REF!</v>
      </c>
      <c r="DT57" s="820"/>
      <c r="DU57" s="822"/>
    </row>
    <row r="58" spans="1:127" ht="3" customHeight="1" x14ac:dyDescent="0.2">
      <c r="A58" s="206"/>
      <c r="B58" s="907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738"/>
      <c r="DB58" s="688"/>
      <c r="DC58" s="688"/>
      <c r="DD58" s="688"/>
      <c r="DE58" s="688"/>
      <c r="DF58" s="738"/>
      <c r="DG58" s="688"/>
      <c r="DH58" s="688"/>
      <c r="DI58" s="688"/>
      <c r="DJ58" s="688"/>
      <c r="DK58" s="738"/>
      <c r="DL58" s="688"/>
      <c r="DM58" s="688"/>
      <c r="DN58" s="688"/>
      <c r="DO58" s="688"/>
      <c r="DP58" s="656"/>
      <c r="DQ58" s="348" t="e">
        <f>DP58-#REF!</f>
        <v>#REF!</v>
      </c>
      <c r="DR58" s="744"/>
      <c r="DT58" s="821"/>
      <c r="DU58" s="822"/>
    </row>
    <row r="59" spans="1:127" x14ac:dyDescent="0.2">
      <c r="A59" s="206"/>
      <c r="B59" s="907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4830.5536960895197</v>
      </c>
      <c r="CY59" s="425">
        <v>4922.9222987936018</v>
      </c>
      <c r="CZ59" s="425">
        <v>4869.7986109729027</v>
      </c>
      <c r="DA59" s="457">
        <v>4861.0481779466627</v>
      </c>
      <c r="DB59" s="425">
        <v>4833.3161767673619</v>
      </c>
      <c r="DC59" s="425">
        <v>4867.9063498329615</v>
      </c>
      <c r="DD59" s="425">
        <v>4887.7742790049724</v>
      </c>
      <c r="DE59" s="425">
        <v>4896.4277317338356</v>
      </c>
      <c r="DF59" s="457">
        <v>4864.6090140487049</v>
      </c>
      <c r="DG59" s="425">
        <v>4854.3942509102199</v>
      </c>
      <c r="DH59" s="425">
        <v>4800.3877168664858</v>
      </c>
      <c r="DI59" s="425">
        <v>4829.9346422644467</v>
      </c>
      <c r="DJ59" s="425">
        <v>4800.8507078839793</v>
      </c>
      <c r="DK59" s="457">
        <v>4768.9348286784407</v>
      </c>
      <c r="DL59" s="425"/>
      <c r="DM59" s="425">
        <v>4780.9909178110956</v>
      </c>
      <c r="DN59" s="425">
        <v>4746.6412598694042</v>
      </c>
      <c r="DO59" s="425">
        <v>4870.710494299432</v>
      </c>
      <c r="DP59" s="662">
        <v>4832.8441897979737</v>
      </c>
      <c r="DQ59" s="348" t="e">
        <f>DP59-#REF!</f>
        <v>#REF!</v>
      </c>
      <c r="DR59" s="744" t="e">
        <f>(+(DP59/#REF!-1))*100</f>
        <v>#REF!</v>
      </c>
      <c r="DT59" s="821"/>
      <c r="DU59" s="822"/>
    </row>
    <row r="60" spans="1:127" x14ac:dyDescent="0.2">
      <c r="A60" s="206"/>
      <c r="B60" s="907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f>100*0.74100573520526</f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77.812705744161576</v>
      </c>
      <c r="CY60" s="688">
        <v>78.155268694093422</v>
      </c>
      <c r="CZ60" s="688">
        <v>77.983665897203764</v>
      </c>
      <c r="DA60" s="738">
        <v>77.898358547241514</v>
      </c>
      <c r="DB60" s="688">
        <v>77.796078520539425</v>
      </c>
      <c r="DC60" s="688">
        <v>77.956913073956642</v>
      </c>
      <c r="DD60" s="688">
        <v>78.202503959832825</v>
      </c>
      <c r="DE60" s="688">
        <v>78.19060624377218</v>
      </c>
      <c r="DF60" s="738">
        <v>77.943663754345934</v>
      </c>
      <c r="DG60" s="688">
        <v>77.983097049873777</v>
      </c>
      <c r="DH60" s="688">
        <v>77.615727632080947</v>
      </c>
      <c r="DI60" s="688">
        <v>77.491824996927193</v>
      </c>
      <c r="DJ60" s="688">
        <v>77.570202904057723</v>
      </c>
      <c r="DK60" s="738">
        <v>77.262081355625241</v>
      </c>
      <c r="DL60" s="688">
        <v>0</v>
      </c>
      <c r="DM60" s="688">
        <v>77.13159485743985</v>
      </c>
      <c r="DN60" s="688">
        <v>77.070857064930678</v>
      </c>
      <c r="DO60" s="688">
        <v>77.249640918725476</v>
      </c>
      <c r="DP60" s="656">
        <v>77.092491330418071</v>
      </c>
      <c r="DQ60" s="348" t="e">
        <f>DP60-#REF!</f>
        <v>#REF!</v>
      </c>
      <c r="DR60" s="744" t="e">
        <f>(+(DP60/#REF!-1))*100</f>
        <v>#REF!</v>
      </c>
      <c r="DT60" s="821"/>
      <c r="DU60" s="821"/>
      <c r="DV60" s="821"/>
      <c r="DW60" s="821"/>
    </row>
    <row r="61" spans="1:127" ht="3" customHeight="1" x14ac:dyDescent="0.2">
      <c r="A61" s="206"/>
      <c r="B61" s="907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7"/>
      <c r="CV61" s="837"/>
      <c r="CW61" s="837">
        <v>0</v>
      </c>
      <c r="CX61" s="746">
        <v>0</v>
      </c>
      <c r="CY61" s="746">
        <v>0</v>
      </c>
      <c r="CZ61" s="746">
        <v>0</v>
      </c>
      <c r="DA61" s="898">
        <v>0</v>
      </c>
      <c r="DB61" s="746">
        <v>0</v>
      </c>
      <c r="DC61" s="746">
        <v>0</v>
      </c>
      <c r="DD61" s="746">
        <v>0</v>
      </c>
      <c r="DE61" s="746">
        <v>0</v>
      </c>
      <c r="DF61" s="898">
        <v>0</v>
      </c>
      <c r="DG61" s="746">
        <v>0</v>
      </c>
      <c r="DH61" s="746">
        <v>0</v>
      </c>
      <c r="DI61" s="746">
        <v>0</v>
      </c>
      <c r="DJ61" s="746">
        <v>0</v>
      </c>
      <c r="DK61" s="898">
        <v>0</v>
      </c>
      <c r="DL61" s="746">
        <v>0</v>
      </c>
      <c r="DM61" s="746">
        <v>0</v>
      </c>
      <c r="DN61" s="746">
        <v>0</v>
      </c>
      <c r="DO61" s="746">
        <v>0</v>
      </c>
      <c r="DP61" s="825">
        <v>0</v>
      </c>
      <c r="DQ61" s="348" t="e">
        <f>DP61-#REF!</f>
        <v>#REF!</v>
      </c>
      <c r="DR61" s="744"/>
      <c r="DT61" s="821"/>
      <c r="DU61" s="822"/>
    </row>
    <row r="62" spans="1:127" x14ac:dyDescent="0.2">
      <c r="A62" s="206"/>
      <c r="B62" s="907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7500.2355278121395</v>
      </c>
      <c r="CY62" s="425">
        <v>7512.4355600220506</v>
      </c>
      <c r="CZ62" s="425">
        <v>7508.2201017523721</v>
      </c>
      <c r="DA62" s="457">
        <v>7620.4030450774426</v>
      </c>
      <c r="DB62" s="425">
        <v>7530.9157933835659</v>
      </c>
      <c r="DC62" s="425">
        <v>7517.8241716036828</v>
      </c>
      <c r="DD62" s="425">
        <v>7504.9058836182612</v>
      </c>
      <c r="DE62" s="425">
        <v>7485.1921411765688</v>
      </c>
      <c r="DF62" s="457">
        <v>7486.254389434589</v>
      </c>
      <c r="DG62" s="425">
        <v>7408.9344660584939</v>
      </c>
      <c r="DH62" s="425">
        <v>7352.5594774331294</v>
      </c>
      <c r="DI62" s="425">
        <v>7346.2619177669503</v>
      </c>
      <c r="DJ62" s="425">
        <v>7342.0602461066001</v>
      </c>
      <c r="DK62" s="457">
        <v>7341.992349688232</v>
      </c>
      <c r="DL62" s="425"/>
      <c r="DM62" s="425">
        <v>7245.021077166366</v>
      </c>
      <c r="DN62" s="425">
        <v>7239.5084633675306</v>
      </c>
      <c r="DO62" s="425">
        <v>7216.2163030949368</v>
      </c>
      <c r="DP62" s="662">
        <v>7201.0398264112628</v>
      </c>
      <c r="DQ62" s="348" t="e">
        <f>DP62-#REF!</f>
        <v>#REF!</v>
      </c>
      <c r="DR62" s="744" t="e">
        <f>(+(DP62/#REF!-1))*100</f>
        <v>#REF!</v>
      </c>
      <c r="DT62" s="821"/>
      <c r="DU62" s="822"/>
    </row>
    <row r="63" spans="1:127" x14ac:dyDescent="0.2">
      <c r="A63" s="206"/>
      <c r="B63" s="907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f>100*0.800688348083885</f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77.181502577946986</v>
      </c>
      <c r="CY63" s="688">
        <v>77.21549019304382</v>
      </c>
      <c r="CZ63" s="688">
        <v>77.091237734472458</v>
      </c>
      <c r="DA63" s="738">
        <v>77.499062123219744</v>
      </c>
      <c r="DB63" s="688">
        <v>77.335333408201251</v>
      </c>
      <c r="DC63" s="688">
        <v>77.258858237598943</v>
      </c>
      <c r="DD63" s="688">
        <v>77.267088956979734</v>
      </c>
      <c r="DE63" s="688">
        <v>77.182814024169673</v>
      </c>
      <c r="DF63" s="738">
        <v>77.142151826691858</v>
      </c>
      <c r="DG63" s="688">
        <v>76.937950072818012</v>
      </c>
      <c r="DH63" s="688">
        <v>76.728022091991477</v>
      </c>
      <c r="DI63" s="688">
        <v>76.750476620614421</v>
      </c>
      <c r="DJ63" s="688">
        <v>76.722992334894684</v>
      </c>
      <c r="DK63" s="738">
        <v>76.714278332706044</v>
      </c>
      <c r="DL63" s="688">
        <v>0</v>
      </c>
      <c r="DM63" s="688">
        <v>76.397513821416268</v>
      </c>
      <c r="DN63" s="688">
        <v>76.324160334534241</v>
      </c>
      <c r="DO63" s="688">
        <v>76.435426849545763</v>
      </c>
      <c r="DP63" s="656">
        <v>76.379357602544516</v>
      </c>
      <c r="DQ63" s="348" t="e">
        <f>DP63-#REF!</f>
        <v>#REF!</v>
      </c>
      <c r="DR63" s="744" t="e">
        <f>(+(DP63/#REF!-1))*100</f>
        <v>#REF!</v>
      </c>
      <c r="DT63" s="821"/>
      <c r="DU63" s="822"/>
    </row>
    <row r="64" spans="1:127" ht="3.75" customHeight="1" x14ac:dyDescent="0.2">
      <c r="A64" s="206"/>
      <c r="B64" s="907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7"/>
      <c r="DB64" s="748"/>
      <c r="DC64" s="748"/>
      <c r="DD64" s="748"/>
      <c r="DE64" s="748"/>
      <c r="DF64" s="747"/>
      <c r="DG64" s="748"/>
      <c r="DH64" s="748"/>
      <c r="DI64" s="748"/>
      <c r="DJ64" s="748"/>
      <c r="DK64" s="747"/>
      <c r="DL64" s="748"/>
      <c r="DM64" s="748"/>
      <c r="DN64" s="748"/>
      <c r="DO64" s="748"/>
      <c r="DP64" s="671"/>
      <c r="DQ64" s="348"/>
      <c r="DR64" s="744"/>
      <c r="DT64" s="821"/>
      <c r="DU64" s="822"/>
    </row>
    <row r="65" spans="1:125" x14ac:dyDescent="0.2">
      <c r="A65" s="206"/>
      <c r="B65" s="907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9306.1882467186551</v>
      </c>
      <c r="CY65" s="425">
        <v>9300.560021045183</v>
      </c>
      <c r="CZ65" s="425">
        <v>9281.920561472296</v>
      </c>
      <c r="DA65" s="457">
        <v>9275.3136386734641</v>
      </c>
      <c r="DB65" s="425">
        <v>9270.7082352915386</v>
      </c>
      <c r="DC65" s="425">
        <v>9266.4673366151528</v>
      </c>
      <c r="DD65" s="425">
        <v>9270.4256996559707</v>
      </c>
      <c r="DE65" s="425">
        <v>9270.6361304067013</v>
      </c>
      <c r="DF65" s="457">
        <v>9273.2171051865807</v>
      </c>
      <c r="DG65" s="425">
        <v>9265.9983639635502</v>
      </c>
      <c r="DH65" s="425">
        <v>9265.6821552069905</v>
      </c>
      <c r="DI65" s="425">
        <v>9267.7455360291478</v>
      </c>
      <c r="DJ65" s="425">
        <v>9270.6011306661749</v>
      </c>
      <c r="DK65" s="457">
        <v>9270.1554221967854</v>
      </c>
      <c r="DL65" s="425"/>
      <c r="DM65" s="425">
        <v>9280.0634156399337</v>
      </c>
      <c r="DN65" s="425">
        <v>9305.8794577069912</v>
      </c>
      <c r="DO65" s="425">
        <v>9317.8074870612199</v>
      </c>
      <c r="DP65" s="662">
        <v>9340.0610479912466</v>
      </c>
      <c r="DQ65" s="348" t="e">
        <f>DP65-#REF!</f>
        <v>#REF!</v>
      </c>
      <c r="DR65" s="744" t="e">
        <f>(+(DP65/#REF!-1))*100</f>
        <v>#REF!</v>
      </c>
      <c r="DT65" s="821"/>
      <c r="DU65" s="822"/>
    </row>
    <row r="66" spans="1:125" x14ac:dyDescent="0.2">
      <c r="A66" s="206"/>
      <c r="B66" s="907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f>100*0.923660796148687</f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94.148331440197552</v>
      </c>
      <c r="CY66" s="688">
        <v>94.147560381735445</v>
      </c>
      <c r="CZ66" s="688">
        <v>94.139329362082393</v>
      </c>
      <c r="DA66" s="738">
        <v>94.139168159650097</v>
      </c>
      <c r="DB66" s="688">
        <v>94.139220941207924</v>
      </c>
      <c r="DC66" s="688">
        <v>94.135876157980363</v>
      </c>
      <c r="DD66" s="688">
        <v>94.104236053137569</v>
      </c>
      <c r="DE66" s="688">
        <v>94.10322891975035</v>
      </c>
      <c r="DF66" s="738">
        <v>94.104529564472045</v>
      </c>
      <c r="DG66" s="688">
        <v>94.13102173696916</v>
      </c>
      <c r="DH66" s="688">
        <v>94.13248263798198</v>
      </c>
      <c r="DI66" s="688">
        <v>94.139107473678934</v>
      </c>
      <c r="DJ66" s="688">
        <v>94.140847733660479</v>
      </c>
      <c r="DK66" s="738">
        <v>94.210303767404355</v>
      </c>
      <c r="DL66" s="688">
        <v>0</v>
      </c>
      <c r="DM66" s="688">
        <v>94.213823550879169</v>
      </c>
      <c r="DN66" s="688">
        <v>94.223273691754926</v>
      </c>
      <c r="DO66" s="688">
        <v>94.231137976157839</v>
      </c>
      <c r="DP66" s="656">
        <v>94.236719599448548</v>
      </c>
      <c r="DQ66" s="348" t="e">
        <f>DP66-#REF!</f>
        <v>#REF!</v>
      </c>
      <c r="DR66" s="744" t="e">
        <f>(+(DP66/#REF!-1))*100</f>
        <v>#REF!</v>
      </c>
      <c r="DT66" s="821"/>
      <c r="DU66" s="822"/>
    </row>
    <row r="67" spans="1:125" ht="3" customHeight="1" x14ac:dyDescent="0.2">
      <c r="A67" s="206"/>
      <c r="B67" s="907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57"/>
      <c r="DB67" s="425"/>
      <c r="DC67" s="425"/>
      <c r="DD67" s="425"/>
      <c r="DE67" s="425"/>
      <c r="DF67" s="457"/>
      <c r="DG67" s="425"/>
      <c r="DH67" s="425"/>
      <c r="DI67" s="425"/>
      <c r="DJ67" s="425"/>
      <c r="DK67" s="457"/>
      <c r="DL67" s="425"/>
      <c r="DM67" s="425"/>
      <c r="DN67" s="425"/>
      <c r="DO67" s="425"/>
      <c r="DP67" s="662"/>
      <c r="DQ67" s="348" t="e">
        <f>DP67-#REF!</f>
        <v>#REF!</v>
      </c>
      <c r="DR67" s="744"/>
      <c r="DT67" s="821"/>
      <c r="DU67" s="822"/>
    </row>
    <row r="68" spans="1:125" x14ac:dyDescent="0.2">
      <c r="A68" s="206"/>
      <c r="B68" s="907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821.24991537317783</v>
      </c>
      <c r="CX68" s="425">
        <v>817.64398172559561</v>
      </c>
      <c r="CY68" s="425">
        <v>815.07887762209725</v>
      </c>
      <c r="CZ68" s="425">
        <v>810.49101339760728</v>
      </c>
      <c r="DA68" s="457">
        <v>809.31416419352581</v>
      </c>
      <c r="DB68" s="425">
        <v>810.64638887136823</v>
      </c>
      <c r="DC68" s="425">
        <v>812.4582688801147</v>
      </c>
      <c r="DD68" s="425">
        <v>809.48357147340914</v>
      </c>
      <c r="DE68" s="425">
        <v>833.10353723725734</v>
      </c>
      <c r="DF68" s="457">
        <v>834.31904722559568</v>
      </c>
      <c r="DG68" s="425">
        <v>836.11741763230111</v>
      </c>
      <c r="DH68" s="425">
        <v>829.28442917457517</v>
      </c>
      <c r="DI68" s="425">
        <v>832.98553578244685</v>
      </c>
      <c r="DJ68" s="425">
        <v>832.83847462792812</v>
      </c>
      <c r="DK68" s="457">
        <v>832.33427422413774</v>
      </c>
      <c r="DL68" s="425"/>
      <c r="DM68" s="425">
        <v>830.55837810752007</v>
      </c>
      <c r="DN68" s="425">
        <v>832.09997301714066</v>
      </c>
      <c r="DO68" s="425">
        <v>831.47756278536269</v>
      </c>
      <c r="DP68" s="662">
        <v>828.99604791947309</v>
      </c>
      <c r="DQ68" s="348" t="e">
        <f>DP68-#REF!</f>
        <v>#REF!</v>
      </c>
      <c r="DR68" s="744" t="e">
        <f>(+(DP68/#REF!-1))*100</f>
        <v>#REF!</v>
      </c>
      <c r="DT68" s="821"/>
      <c r="DU68" s="822"/>
    </row>
    <row r="69" spans="1:125" ht="12.75" customHeight="1" x14ac:dyDescent="0.2">
      <c r="A69" s="206"/>
      <c r="B69" s="907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f>100*0.786890876318575</f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8">
        <v>82.867194506648929</v>
      </c>
      <c r="CV69" s="701">
        <v>81.145974882677194</v>
      </c>
      <c r="CW69" s="701">
        <v>81.43535393647781</v>
      </c>
      <c r="CX69" s="688">
        <v>81.294400241591362</v>
      </c>
      <c r="CY69" s="688">
        <v>80.97534918886052</v>
      </c>
      <c r="CZ69" s="688">
        <v>81.113259353931085</v>
      </c>
      <c r="DA69" s="738">
        <v>81.075110891084634</v>
      </c>
      <c r="DB69" s="688">
        <v>81.084039963167285</v>
      </c>
      <c r="DC69" s="688">
        <v>81.003685354031106</v>
      </c>
      <c r="DD69" s="688">
        <v>81.349088639497197</v>
      </c>
      <c r="DE69" s="688">
        <v>81.888342641999685</v>
      </c>
      <c r="DF69" s="738">
        <v>81.833066010164799</v>
      </c>
      <c r="DG69" s="688">
        <v>82.061791419878702</v>
      </c>
      <c r="DH69" s="688">
        <v>82.000027639594734</v>
      </c>
      <c r="DI69" s="688">
        <v>81.916276753591262</v>
      </c>
      <c r="DJ69" s="688">
        <v>81.983825958258379</v>
      </c>
      <c r="DK69" s="738">
        <v>81.668209813801667</v>
      </c>
      <c r="DL69" s="688">
        <v>0</v>
      </c>
      <c r="DM69" s="688">
        <v>81.870310384201147</v>
      </c>
      <c r="DN69" s="688">
        <v>81.831922102533653</v>
      </c>
      <c r="DO69" s="688">
        <v>81.743628291516217</v>
      </c>
      <c r="DP69" s="656">
        <v>81.562361107435564</v>
      </c>
      <c r="DQ69" s="348" t="e">
        <f>DP69-#REF!</f>
        <v>#REF!</v>
      </c>
      <c r="DR69" s="744" t="e">
        <f>(+(DP69/#REF!-1))*100</f>
        <v>#REF!</v>
      </c>
      <c r="DT69" s="821"/>
      <c r="DU69" s="822"/>
    </row>
    <row r="70" spans="1:125" s="438" customFormat="1" ht="4.5" customHeight="1" x14ac:dyDescent="0.2">
      <c r="A70" s="206"/>
      <c r="B70" s="907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39"/>
      <c r="CV70" s="839"/>
      <c r="CW70" s="839"/>
      <c r="CX70" s="732"/>
      <c r="CY70" s="732"/>
      <c r="CZ70" s="732"/>
      <c r="DA70" s="899"/>
      <c r="DB70" s="732"/>
      <c r="DC70" s="732"/>
      <c r="DD70" s="732"/>
      <c r="DE70" s="732"/>
      <c r="DF70" s="899"/>
      <c r="DG70" s="732"/>
      <c r="DH70" s="732"/>
      <c r="DI70" s="732"/>
      <c r="DJ70" s="732"/>
      <c r="DK70" s="899"/>
      <c r="DL70" s="732"/>
      <c r="DM70" s="732"/>
      <c r="DN70" s="732"/>
      <c r="DO70" s="732"/>
      <c r="DP70" s="826"/>
      <c r="DQ70" s="546"/>
      <c r="DR70" s="745"/>
      <c r="DS70" s="479"/>
      <c r="DT70" s="821"/>
      <c r="DU70" s="822"/>
    </row>
    <row r="71" spans="1:125" ht="12.75" customHeight="1" x14ac:dyDescent="0.2">
      <c r="A71" s="206"/>
      <c r="B71" s="907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5189.8462733449096</v>
      </c>
      <c r="CY71" s="425">
        <v>5233.4260400745598</v>
      </c>
      <c r="CZ71" s="425">
        <v>5248.1485986996868</v>
      </c>
      <c r="DA71" s="457">
        <v>5358.3468524605305</v>
      </c>
      <c r="DB71" s="425">
        <v>5323.9733262055852</v>
      </c>
      <c r="DC71" s="425">
        <v>5345.8887191051608</v>
      </c>
      <c r="DD71" s="425">
        <v>5388.8943501017438</v>
      </c>
      <c r="DE71" s="425">
        <v>5361.093257000809</v>
      </c>
      <c r="DF71" s="457">
        <v>5376.3346062915571</v>
      </c>
      <c r="DG71" s="425">
        <v>5301.5134260941504</v>
      </c>
      <c r="DH71" s="425">
        <v>5222.2308192433584</v>
      </c>
      <c r="DI71" s="425">
        <v>5171.6579321921981</v>
      </c>
      <c r="DJ71" s="425">
        <v>5135.8105686204835</v>
      </c>
      <c r="DK71" s="457">
        <v>5068.5887929205073</v>
      </c>
      <c r="DL71" s="425"/>
      <c r="DM71" s="425">
        <v>4972.5748928133407</v>
      </c>
      <c r="DN71" s="425">
        <v>4934.6647154420461</v>
      </c>
      <c r="DO71" s="425">
        <v>5024.8689663867872</v>
      </c>
      <c r="DP71" s="662">
        <v>4923.9511241539813</v>
      </c>
      <c r="DQ71" s="348" t="e">
        <f>DP71-#REF!</f>
        <v>#REF!</v>
      </c>
      <c r="DR71" s="744" t="e">
        <f>(+(DP71/#REF!-1))*100</f>
        <v>#REF!</v>
      </c>
      <c r="DS71" s="479"/>
      <c r="DT71" s="819"/>
      <c r="DU71" s="822"/>
    </row>
    <row r="72" spans="1:125" x14ac:dyDescent="0.2">
      <c r="A72" s="206"/>
      <c r="B72" s="907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1920.8876325262388</v>
      </c>
      <c r="CY72" s="425">
        <v>1956.3414718520412</v>
      </c>
      <c r="CZ72" s="425">
        <v>1954.8579944810504</v>
      </c>
      <c r="DA72" s="457">
        <v>2082.2089553462097</v>
      </c>
      <c r="DB72" s="425">
        <v>2048.7806798979586</v>
      </c>
      <c r="DC72" s="425">
        <v>2054.2508736217201</v>
      </c>
      <c r="DD72" s="425">
        <v>2067.1249961399421</v>
      </c>
      <c r="DE72" s="425">
        <v>2075.7770152230319</v>
      </c>
      <c r="DF72" s="457">
        <v>2081.0419845983961</v>
      </c>
      <c r="DG72" s="425">
        <v>2028.8359807397956</v>
      </c>
      <c r="DH72" s="425">
        <v>1961.765425896501</v>
      </c>
      <c r="DI72" s="425">
        <v>1917.3209187551022</v>
      </c>
      <c r="DJ72" s="425">
        <v>1891.3730773753641</v>
      </c>
      <c r="DK72" s="457">
        <v>1783.0101223323613</v>
      </c>
      <c r="DL72" s="425"/>
      <c r="DM72" s="425">
        <v>1676.0462205932945</v>
      </c>
      <c r="DN72" s="425">
        <v>1654.6985632004373</v>
      </c>
      <c r="DO72" s="425">
        <v>1673.0013028206999</v>
      </c>
      <c r="DP72" s="662">
        <v>1651.288189681487</v>
      </c>
      <c r="DQ72" s="348" t="e">
        <f>DP72-#REF!</f>
        <v>#REF!</v>
      </c>
      <c r="DR72" s="744" t="e">
        <f>(+(DP72/#REF!-1))*100</f>
        <v>#REF!</v>
      </c>
      <c r="DS72" s="479"/>
      <c r="DT72" s="628"/>
      <c r="DU72" s="271"/>
    </row>
    <row r="73" spans="1:125" ht="15" x14ac:dyDescent="0.25">
      <c r="A73" s="206"/>
      <c r="B73" s="907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621.16225455685105</v>
      </c>
      <c r="CY73" s="425">
        <v>629.19095322011663</v>
      </c>
      <c r="CZ73" s="425">
        <v>629.20742565014575</v>
      </c>
      <c r="DA73" s="457">
        <v>629.20896550291525</v>
      </c>
      <c r="DB73" s="425">
        <v>629.21350587609322</v>
      </c>
      <c r="DC73" s="425">
        <v>637.6509006122451</v>
      </c>
      <c r="DD73" s="425">
        <v>637.65172095481046</v>
      </c>
      <c r="DE73" s="425">
        <v>637.65326080174918</v>
      </c>
      <c r="DF73" s="457">
        <v>637.65560987609331</v>
      </c>
      <c r="DG73" s="425">
        <v>637.66031914285725</v>
      </c>
      <c r="DH73" s="425">
        <v>635.87884187171994</v>
      </c>
      <c r="DI73" s="425">
        <v>635.87893763848399</v>
      </c>
      <c r="DJ73" s="425">
        <v>635.88125176967924</v>
      </c>
      <c r="DK73" s="457">
        <v>635.8836010437318</v>
      </c>
      <c r="DL73" s="425"/>
      <c r="DM73" s="425">
        <v>635.89113796355684</v>
      </c>
      <c r="DN73" s="425">
        <v>622.93691098833801</v>
      </c>
      <c r="DO73" s="425">
        <v>622.9392579985423</v>
      </c>
      <c r="DP73" s="662">
        <v>622.93952724344001</v>
      </c>
      <c r="DQ73" s="348" t="e">
        <f>DP73-#REF!</f>
        <v>#REF!</v>
      </c>
      <c r="DR73" s="744" t="e">
        <f>(+(DP73/#REF!-1))*100</f>
        <v>#REF!</v>
      </c>
      <c r="DS73" s="479"/>
      <c r="DT73" s="628"/>
      <c r="DU73" s="650"/>
    </row>
    <row r="74" spans="1:125" ht="15" x14ac:dyDescent="0.25">
      <c r="A74" s="206"/>
      <c r="B74" s="907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833.70418382181924</v>
      </c>
      <c r="CY74" s="425">
        <v>820.53802784240224</v>
      </c>
      <c r="CZ74" s="425">
        <v>836.48959104848984</v>
      </c>
      <c r="DA74" s="457">
        <v>819.09753491140521</v>
      </c>
      <c r="DB74" s="425">
        <v>818.19297123153353</v>
      </c>
      <c r="DC74" s="425">
        <v>819.82080963119529</v>
      </c>
      <c r="DD74" s="425">
        <v>849.89147973699153</v>
      </c>
      <c r="DE74" s="425">
        <v>813.39583980602913</v>
      </c>
      <c r="DF74" s="457">
        <v>823.14882876706724</v>
      </c>
      <c r="DG74" s="425">
        <v>800.5304070114986</v>
      </c>
      <c r="DH74" s="425">
        <v>797.5304718751371</v>
      </c>
      <c r="DI74" s="425">
        <v>791.21539681861225</v>
      </c>
      <c r="DJ74" s="425">
        <v>781.3733306354402</v>
      </c>
      <c r="DK74" s="457">
        <v>822.5384012344141</v>
      </c>
      <c r="DL74" s="425"/>
      <c r="DM74" s="425">
        <v>832.98958467648959</v>
      </c>
      <c r="DN74" s="425">
        <v>826.97855559327115</v>
      </c>
      <c r="DO74" s="425">
        <v>898.85290432754516</v>
      </c>
      <c r="DP74" s="662">
        <v>819.56470097905549</v>
      </c>
      <c r="DQ74" s="348" t="e">
        <f>DP74-#REF!</f>
        <v>#REF!</v>
      </c>
      <c r="DR74" s="744" t="e">
        <f>(+(DP74/#REF!-1))*100</f>
        <v>#REF!</v>
      </c>
      <c r="DS74" s="479"/>
      <c r="DT74" s="628"/>
      <c r="DU74" s="650"/>
    </row>
    <row r="75" spans="1:125" ht="15" x14ac:dyDescent="0.25">
      <c r="A75" s="206"/>
      <c r="B75" s="907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1814.0922024399997</v>
      </c>
      <c r="CY75" s="425">
        <v>1827.3555871599999</v>
      </c>
      <c r="CZ75" s="425">
        <v>1827.59358752</v>
      </c>
      <c r="DA75" s="457">
        <v>1827.8313966999999</v>
      </c>
      <c r="DB75" s="425">
        <v>1827.7861691999997</v>
      </c>
      <c r="DC75" s="425">
        <v>1834.1661352400001</v>
      </c>
      <c r="DD75" s="425">
        <v>1834.2261532700002</v>
      </c>
      <c r="DE75" s="425">
        <v>1834.2671411699996</v>
      </c>
      <c r="DF75" s="457">
        <v>1834.4881830500003</v>
      </c>
      <c r="DG75" s="425">
        <v>1834.4867191999999</v>
      </c>
      <c r="DH75" s="425">
        <v>1827.0560795999997</v>
      </c>
      <c r="DI75" s="425">
        <v>1827.2426789800002</v>
      </c>
      <c r="DJ75" s="425">
        <v>1827.1829088400002</v>
      </c>
      <c r="DK75" s="457">
        <v>1827.15666831</v>
      </c>
      <c r="DL75" s="425"/>
      <c r="DM75" s="425">
        <v>1827.6479495799997</v>
      </c>
      <c r="DN75" s="425">
        <v>1830.0506856599998</v>
      </c>
      <c r="DO75" s="425">
        <v>1830.0755012400002</v>
      </c>
      <c r="DP75" s="662">
        <v>1830.1587062499993</v>
      </c>
      <c r="DQ75" s="348" t="e">
        <f>DP75-#REF!</f>
        <v>#REF!</v>
      </c>
      <c r="DR75" s="744" t="e">
        <f>(+(DP75/#REF!-1))*100</f>
        <v>#REF!</v>
      </c>
      <c r="DS75" s="479"/>
      <c r="DT75" s="628"/>
      <c r="DU75" s="650"/>
    </row>
    <row r="76" spans="1:125" ht="15" x14ac:dyDescent="0.25">
      <c r="A76" s="206"/>
      <c r="B76" s="907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1350.6966055940979</v>
      </c>
      <c r="CY76" s="425">
        <v>1367.683849508936</v>
      </c>
      <c r="CZ76" s="425">
        <v>1377.7882651528103</v>
      </c>
      <c r="DA76" s="457">
        <v>1482.621418143452</v>
      </c>
      <c r="DB76" s="425">
        <v>1423.7736679824029</v>
      </c>
      <c r="DC76" s="425">
        <v>1433.1044560030368</v>
      </c>
      <c r="DD76" s="425">
        <v>1481.246858884866</v>
      </c>
      <c r="DE76" s="425">
        <v>1451.3011547982212</v>
      </c>
      <c r="DF76" s="457">
        <v>1466.6397829305622</v>
      </c>
      <c r="DG76" s="425">
        <v>1390.8370462964729</v>
      </c>
      <c r="DH76" s="425">
        <v>1328.2916731569369</v>
      </c>
      <c r="DI76" s="425">
        <v>1276.896897595931</v>
      </c>
      <c r="DJ76" s="425">
        <v>1241.3947899738512</v>
      </c>
      <c r="DK76" s="457">
        <v>1175.5288401453799</v>
      </c>
      <c r="DL76" s="425"/>
      <c r="DM76" s="425">
        <v>1086.8128131467988</v>
      </c>
      <c r="DN76" s="425">
        <v>1064.8435887288704</v>
      </c>
      <c r="DO76" s="425">
        <v>1150.215005585294</v>
      </c>
      <c r="DP76" s="662">
        <v>1052.0490977071681</v>
      </c>
      <c r="DQ76" s="348" t="e">
        <f>DP76-#REF!</f>
        <v>#REF!</v>
      </c>
      <c r="DR76" s="744" t="e">
        <f>(+(DP76/#REF!-1))*100</f>
        <v>#REF!</v>
      </c>
      <c r="DS76" s="479"/>
      <c r="DT76" s="628"/>
      <c r="DU76" s="650"/>
    </row>
    <row r="77" spans="1:125" x14ac:dyDescent="0.2">
      <c r="A77" s="206"/>
      <c r="B77" s="907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1050.3884117422788</v>
      </c>
      <c r="CY77" s="425">
        <v>1080.6942480565335</v>
      </c>
      <c r="CZ77" s="425">
        <v>1075.6664647243203</v>
      </c>
      <c r="DA77" s="457">
        <v>1197.2878749420465</v>
      </c>
      <c r="DB77" s="425">
        <v>1140.6946520308695</v>
      </c>
      <c r="DC77" s="425">
        <v>1148.1824898318414</v>
      </c>
      <c r="DD77" s="425">
        <v>1163.1421019378745</v>
      </c>
      <c r="DE77" s="425">
        <v>1169.2013218721918</v>
      </c>
      <c r="DF77" s="457">
        <v>1175.4417390234951</v>
      </c>
      <c r="DG77" s="425">
        <v>1121.8791315249744</v>
      </c>
      <c r="DH77" s="425">
        <v>1059.4532565417996</v>
      </c>
      <c r="DI77" s="425">
        <v>1013.5218639973187</v>
      </c>
      <c r="DJ77" s="425">
        <v>986.53744406841088</v>
      </c>
      <c r="DK77" s="457">
        <v>879.56682411096574</v>
      </c>
      <c r="DL77" s="425"/>
      <c r="DM77" s="425">
        <v>779.34486065030899</v>
      </c>
      <c r="DN77" s="425">
        <v>764.88233149559903</v>
      </c>
      <c r="DO77" s="425">
        <v>780.79877634774869</v>
      </c>
      <c r="DP77" s="662">
        <v>761.31593973811243</v>
      </c>
      <c r="DQ77" s="348" t="e">
        <f>DP77-#REF!</f>
        <v>#REF!</v>
      </c>
      <c r="DR77" s="744" t="e">
        <f>(+(DP77/#REF!-1))*100</f>
        <v>#REF!</v>
      </c>
      <c r="DS77" s="479"/>
      <c r="DT77" s="628"/>
      <c r="DU77" s="271"/>
    </row>
    <row r="78" spans="1:125" x14ac:dyDescent="0.2">
      <c r="A78" s="206"/>
      <c r="B78" s="907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300.30819385181923</v>
      </c>
      <c r="CY78" s="425">
        <v>286.98960145240238</v>
      </c>
      <c r="CZ78" s="425">
        <v>302.12180042848985</v>
      </c>
      <c r="DA78" s="457">
        <v>285.33354320140529</v>
      </c>
      <c r="DB78" s="425">
        <v>283.07901595153356</v>
      </c>
      <c r="DC78" s="425">
        <v>284.92196617119549</v>
      </c>
      <c r="DD78" s="425">
        <v>318.10475694699147</v>
      </c>
      <c r="DE78" s="425">
        <v>282.09983292602919</v>
      </c>
      <c r="DF78" s="457">
        <v>291.19804390706719</v>
      </c>
      <c r="DG78" s="425">
        <v>268.95791477149862</v>
      </c>
      <c r="DH78" s="425">
        <v>268.83841661513719</v>
      </c>
      <c r="DI78" s="425">
        <v>263.37503359861228</v>
      </c>
      <c r="DJ78" s="425">
        <v>254.85734590544021</v>
      </c>
      <c r="DK78" s="457">
        <v>295.96201603441415</v>
      </c>
      <c r="DL78" s="425"/>
      <c r="DM78" s="425">
        <v>307.4679524964896</v>
      </c>
      <c r="DN78" s="425">
        <v>299.96125723327128</v>
      </c>
      <c r="DO78" s="425">
        <v>369.41622923754528</v>
      </c>
      <c r="DP78" s="662">
        <v>290.73315796905564</v>
      </c>
      <c r="DQ78" s="348" t="e">
        <f>DP78-#REF!</f>
        <v>#REF!</v>
      </c>
      <c r="DR78" s="752" t="e">
        <f>(+(DP78/#REF!-1))*100</f>
        <v>#REF!</v>
      </c>
      <c r="DS78" s="479"/>
      <c r="DT78" s="628"/>
      <c r="DU78" s="271"/>
    </row>
    <row r="79" spans="1:125" ht="12.75" hidden="1" customHeight="1" outlineLevel="1" x14ac:dyDescent="0.2">
      <c r="A79" s="206"/>
      <c r="B79" s="907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0">
        <v>0</v>
      </c>
      <c r="CV79" s="882">
        <v>0</v>
      </c>
      <c r="CW79" s="882">
        <v>0</v>
      </c>
      <c r="CX79" s="723">
        <v>0</v>
      </c>
      <c r="CY79" s="723">
        <v>0</v>
      </c>
      <c r="CZ79" s="723">
        <v>0</v>
      </c>
      <c r="DA79" s="900">
        <v>0</v>
      </c>
      <c r="DB79" s="723">
        <v>0</v>
      </c>
      <c r="DC79" s="723">
        <v>0</v>
      </c>
      <c r="DD79" s="723">
        <v>0</v>
      </c>
      <c r="DE79" s="723">
        <v>0</v>
      </c>
      <c r="DF79" s="900">
        <v>0</v>
      </c>
      <c r="DG79" s="723">
        <v>0</v>
      </c>
      <c r="DH79" s="723">
        <v>0</v>
      </c>
      <c r="DI79" s="723">
        <v>0</v>
      </c>
      <c r="DJ79" s="723">
        <v>0</v>
      </c>
      <c r="DK79" s="900">
        <v>0</v>
      </c>
      <c r="DL79" s="723"/>
      <c r="DM79" s="723">
        <v>0</v>
      </c>
      <c r="DN79" s="723">
        <v>0</v>
      </c>
      <c r="DO79" s="723">
        <v>0</v>
      </c>
      <c r="DP79" s="827">
        <v>0</v>
      </c>
      <c r="DQ79" s="348" t="e">
        <f>DP79-#REF!</f>
        <v>#REF!</v>
      </c>
      <c r="DR79" s="752" t="e">
        <f>(+(DP79/#REF!-1))*100</f>
        <v>#REF!</v>
      </c>
      <c r="DS79" s="479"/>
      <c r="DT79" s="265"/>
      <c r="DU79" s="271"/>
    </row>
    <row r="80" spans="1:125" collapsed="1" x14ac:dyDescent="0.2">
      <c r="A80" s="206"/>
      <c r="B80" s="907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19897.713064212763</v>
      </c>
      <c r="CX80" s="425">
        <v>19853.583928754244</v>
      </c>
      <c r="CY80" s="425">
        <v>19838.478972558907</v>
      </c>
      <c r="CZ80" s="425">
        <v>19815.212942561822</v>
      </c>
      <c r="DA80" s="457">
        <v>19802.87312048602</v>
      </c>
      <c r="DB80" s="425">
        <v>19753.135501072025</v>
      </c>
      <c r="DC80" s="425">
        <v>19727.827426755695</v>
      </c>
      <c r="DD80" s="425">
        <v>19723.555920302344</v>
      </c>
      <c r="DE80" s="425">
        <v>19719.211983175519</v>
      </c>
      <c r="DF80" s="457">
        <v>19726.56815912887</v>
      </c>
      <c r="DG80" s="425">
        <v>19697.887043191557</v>
      </c>
      <c r="DH80" s="425">
        <v>19680.16690138543</v>
      </c>
      <c r="DI80" s="425">
        <v>19721.066858424791</v>
      </c>
      <c r="DJ80" s="425">
        <v>19731.490466685729</v>
      </c>
      <c r="DK80" s="457">
        <v>19743.635451293598</v>
      </c>
      <c r="DL80" s="425"/>
      <c r="DM80" s="425">
        <v>19755.133309223627</v>
      </c>
      <c r="DN80" s="425">
        <v>19765.23720683733</v>
      </c>
      <c r="DO80" s="425">
        <v>19778.818543467059</v>
      </c>
      <c r="DP80" s="662">
        <v>19817.551137258615</v>
      </c>
      <c r="DQ80" s="348" t="e">
        <f>DP80-#REF!</f>
        <v>#REF!</v>
      </c>
      <c r="DR80" s="744" t="e">
        <f>(+(DP80/#REF!-1))*100</f>
        <v>#REF!</v>
      </c>
      <c r="DS80" s="479"/>
      <c r="DT80" s="721"/>
      <c r="DU80" s="271"/>
    </row>
    <row r="81" spans="1:125" ht="12.75" hidden="1" customHeight="1" x14ac:dyDescent="0.2">
      <c r="A81" s="206"/>
      <c r="B81" s="907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1"/>
      <c r="CV81" s="841"/>
      <c r="CW81" s="888"/>
      <c r="CX81" s="724"/>
      <c r="CY81" s="724"/>
      <c r="CZ81" s="724"/>
      <c r="DA81" s="901"/>
      <c r="DB81" s="724"/>
      <c r="DC81" s="724"/>
      <c r="DD81" s="724"/>
      <c r="DE81" s="724"/>
      <c r="DF81" s="901"/>
      <c r="DG81" s="724"/>
      <c r="DH81" s="724"/>
      <c r="DI81" s="724"/>
      <c r="DJ81" s="724"/>
      <c r="DK81" s="901"/>
      <c r="DL81" s="724"/>
      <c r="DM81" s="724"/>
      <c r="DN81" s="724"/>
      <c r="DO81" s="724"/>
      <c r="DP81" s="828"/>
      <c r="DQ81" s="348" t="e">
        <f>DP81-#REF!</f>
        <v>#REF!</v>
      </c>
      <c r="DR81" s="744" t="e">
        <f>(+(DP81/#REF!-1))*100</f>
        <v>#REF!</v>
      </c>
      <c r="DS81" s="479"/>
      <c r="DT81" s="265"/>
      <c r="DU81" s="271"/>
    </row>
    <row r="82" spans="1:125" ht="13.5" thickBot="1" x14ac:dyDescent="0.25">
      <c r="A82" s="206"/>
      <c r="B82" s="907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96.753827720197933</v>
      </c>
      <c r="CY82" s="788">
        <v>96.757427665090461</v>
      </c>
      <c r="CZ82" s="788">
        <v>96.760598043165984</v>
      </c>
      <c r="DA82" s="789">
        <v>96.758854295860189</v>
      </c>
      <c r="DB82" s="788">
        <v>96.760965642688944</v>
      </c>
      <c r="DC82" s="788">
        <v>96.755343233732603</v>
      </c>
      <c r="DD82" s="788">
        <v>96.761020256304292</v>
      </c>
      <c r="DE82" s="788">
        <v>96.760953837502939</v>
      </c>
      <c r="DF82" s="789">
        <v>96.765456340789171</v>
      </c>
      <c r="DG82" s="788">
        <v>96.77074031081213</v>
      </c>
      <c r="DH82" s="788">
        <v>96.768320212921267</v>
      </c>
      <c r="DI82" s="788">
        <v>96.775049901133031</v>
      </c>
      <c r="DJ82" s="788">
        <v>96.779857985365439</v>
      </c>
      <c r="DK82" s="789">
        <v>96.786137197404116</v>
      </c>
      <c r="DL82" s="788"/>
      <c r="DM82" s="788">
        <v>96.788379148687255</v>
      </c>
      <c r="DN82" s="788">
        <v>96.791780030104391</v>
      </c>
      <c r="DO82" s="788">
        <v>96.79280746174237</v>
      </c>
      <c r="DP82" s="789">
        <v>96.799775757823951</v>
      </c>
      <c r="DQ82" s="551" t="e">
        <f>DP82-#REF!</f>
        <v>#REF!</v>
      </c>
      <c r="DR82" s="763" t="e">
        <f>(+(DP82/#REF!-1))*100</f>
        <v>#REF!</v>
      </c>
      <c r="DS82" s="479"/>
      <c r="DT82" s="820"/>
      <c r="DU82" s="271"/>
    </row>
    <row r="83" spans="1:125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75"/>
      <c r="DB83" s="323"/>
      <c r="DC83" s="323"/>
      <c r="DD83" s="323"/>
      <c r="DE83" s="323"/>
      <c r="DF83" s="375"/>
      <c r="DG83" s="323"/>
      <c r="DH83" s="323"/>
      <c r="DI83" s="323"/>
      <c r="DJ83" s="323"/>
      <c r="DK83" s="375"/>
      <c r="DL83" s="323"/>
      <c r="DM83" s="323"/>
      <c r="DN83" s="323"/>
      <c r="DO83" s="323"/>
      <c r="DP83" s="674"/>
      <c r="DQ83" s="546"/>
      <c r="DR83" s="745"/>
      <c r="DS83" s="479"/>
      <c r="DT83" s="821"/>
      <c r="DU83" s="271"/>
    </row>
    <row r="84" spans="1:125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f t="shared" ref="J84:O84" si="28">+J85+0.1</f>
        <v>7.0699999999999994</v>
      </c>
      <c r="K84" s="125">
        <f t="shared" si="28"/>
        <v>7.0699999999999994</v>
      </c>
      <c r="L84" s="118">
        <f t="shared" si="28"/>
        <v>7.0699999999999994</v>
      </c>
      <c r="M84" s="119">
        <f t="shared" si="28"/>
        <v>7.0699999999999994</v>
      </c>
      <c r="N84" s="125">
        <f t="shared" si="28"/>
        <v>7.0699999999999994</v>
      </c>
      <c r="O84" s="125">
        <f t="shared" si="28"/>
        <v>7.0699999999999994</v>
      </c>
      <c r="P84" s="159">
        <v>7.07</v>
      </c>
      <c r="Q84" s="125">
        <f t="shared" ref="Q84:Y84" si="29">+Q85+0.1</f>
        <v>7.0699999999999994</v>
      </c>
      <c r="R84" s="125">
        <f t="shared" si="29"/>
        <v>7.0699999999999994</v>
      </c>
      <c r="S84" s="179">
        <f t="shared" si="29"/>
        <v>7.0699999999999994</v>
      </c>
      <c r="T84" s="179">
        <f t="shared" si="29"/>
        <v>7.0699999999999994</v>
      </c>
      <c r="U84" s="179">
        <f t="shared" si="29"/>
        <v>7.0699999999999994</v>
      </c>
      <c r="V84" s="179">
        <f t="shared" si="29"/>
        <v>7.0699999999999994</v>
      </c>
      <c r="W84" s="179">
        <f t="shared" si="29"/>
        <v>7.0699999999999994</v>
      </c>
      <c r="X84" s="179">
        <f t="shared" si="29"/>
        <v>7.0699999999999994</v>
      </c>
      <c r="Y84" s="179">
        <f t="shared" si="29"/>
        <v>7.0699999999999994</v>
      </c>
      <c r="Z84" s="179">
        <f t="shared" ref="Z84:AH84" si="30">+Z85+0.1</f>
        <v>7.0699999999999994</v>
      </c>
      <c r="AA84" s="179">
        <f t="shared" si="30"/>
        <v>7.0699999999999994</v>
      </c>
      <c r="AB84" s="179">
        <f t="shared" si="30"/>
        <v>7.06</v>
      </c>
      <c r="AC84" s="179">
        <f t="shared" si="30"/>
        <v>7.04</v>
      </c>
      <c r="AD84" s="179">
        <f t="shared" si="30"/>
        <v>7.04</v>
      </c>
      <c r="AE84" s="179">
        <f t="shared" si="30"/>
        <v>7.02</v>
      </c>
      <c r="AF84" s="179">
        <f t="shared" si="30"/>
        <v>7</v>
      </c>
      <c r="AG84" s="179">
        <f t="shared" si="30"/>
        <v>6.9899999999999993</v>
      </c>
      <c r="AH84" s="179">
        <f t="shared" si="30"/>
        <v>6.9899999999999993</v>
      </c>
      <c r="AI84" s="179">
        <f>+AI85+0.1</f>
        <v>6.9799999999999995</v>
      </c>
      <c r="AJ84" s="179">
        <f>+AJ85+0.1</f>
        <v>6.97</v>
      </c>
      <c r="AK84" s="179">
        <v>6.97</v>
      </c>
      <c r="AL84" s="179">
        <f t="shared" ref="AL84:BQ84" si="31">+AL85+0.1</f>
        <v>6.97</v>
      </c>
      <c r="AM84" s="179">
        <f t="shared" si="31"/>
        <v>6.97</v>
      </c>
      <c r="AN84" s="179">
        <f t="shared" si="31"/>
        <v>6.96</v>
      </c>
      <c r="AO84" s="179">
        <f t="shared" si="31"/>
        <v>6.96</v>
      </c>
      <c r="AP84" s="179">
        <f t="shared" si="31"/>
        <v>6.96</v>
      </c>
      <c r="AQ84" s="179">
        <f t="shared" si="31"/>
        <v>6.96</v>
      </c>
      <c r="AR84" s="179">
        <f t="shared" si="31"/>
        <v>6.96</v>
      </c>
      <c r="AS84" s="179">
        <f t="shared" si="31"/>
        <v>6.96</v>
      </c>
      <c r="AT84" s="179">
        <f t="shared" si="31"/>
        <v>6.96</v>
      </c>
      <c r="AU84" s="333">
        <f t="shared" si="31"/>
        <v>6.96</v>
      </c>
      <c r="AV84" s="361">
        <f t="shared" si="31"/>
        <v>6.96</v>
      </c>
      <c r="AW84" s="179">
        <f t="shared" si="31"/>
        <v>6.96</v>
      </c>
      <c r="AX84" s="179">
        <f t="shared" si="31"/>
        <v>6.96</v>
      </c>
      <c r="AY84" s="179">
        <f t="shared" si="31"/>
        <v>6.96</v>
      </c>
      <c r="AZ84" s="179">
        <f t="shared" si="31"/>
        <v>6.96</v>
      </c>
      <c r="BA84" s="179">
        <f t="shared" si="31"/>
        <v>6.96</v>
      </c>
      <c r="BB84" s="179">
        <f t="shared" si="31"/>
        <v>6.96</v>
      </c>
      <c r="BC84" s="179">
        <f t="shared" si="31"/>
        <v>6.96</v>
      </c>
      <c r="BD84" s="179">
        <f t="shared" si="31"/>
        <v>6.96</v>
      </c>
      <c r="BE84" s="179">
        <f t="shared" si="31"/>
        <v>6.96</v>
      </c>
      <c r="BF84" s="179">
        <f t="shared" si="31"/>
        <v>6.96</v>
      </c>
      <c r="BG84" s="179">
        <f t="shared" si="31"/>
        <v>6.96</v>
      </c>
      <c r="BH84" s="179">
        <f t="shared" si="31"/>
        <v>6.96</v>
      </c>
      <c r="BI84" s="179">
        <f t="shared" si="31"/>
        <v>6.96</v>
      </c>
      <c r="BJ84" s="179">
        <f t="shared" si="31"/>
        <v>6.96</v>
      </c>
      <c r="BK84" s="179">
        <f t="shared" si="31"/>
        <v>6.96</v>
      </c>
      <c r="BL84" s="414">
        <f t="shared" si="31"/>
        <v>6.96</v>
      </c>
      <c r="BM84" s="179">
        <f t="shared" si="31"/>
        <v>6.96</v>
      </c>
      <c r="BN84" s="333">
        <f t="shared" si="31"/>
        <v>6.96</v>
      </c>
      <c r="BO84" s="333">
        <f t="shared" si="31"/>
        <v>6.96</v>
      </c>
      <c r="BP84" s="333">
        <f t="shared" si="31"/>
        <v>6.96</v>
      </c>
      <c r="BQ84" s="333">
        <f t="shared" si="31"/>
        <v>6.96</v>
      </c>
      <c r="BR84" s="333">
        <f t="shared" ref="BR84:CM84" si="32">+BR85+0.1</f>
        <v>6.96</v>
      </c>
      <c r="BS84" s="422">
        <f t="shared" si="32"/>
        <v>6.96</v>
      </c>
      <c r="BT84" s="333">
        <f t="shared" si="32"/>
        <v>6.96</v>
      </c>
      <c r="BU84" s="423">
        <f t="shared" si="32"/>
        <v>6.96</v>
      </c>
      <c r="BV84" s="423">
        <f t="shared" si="32"/>
        <v>6.96</v>
      </c>
      <c r="BW84" s="423">
        <f t="shared" si="32"/>
        <v>6.96</v>
      </c>
      <c r="BX84" s="423">
        <f t="shared" si="32"/>
        <v>6.96</v>
      </c>
      <c r="BY84" s="333">
        <f t="shared" si="32"/>
        <v>6.96</v>
      </c>
      <c r="BZ84" s="423">
        <f t="shared" si="32"/>
        <v>6.96</v>
      </c>
      <c r="CA84" s="333">
        <f t="shared" si="32"/>
        <v>6.96</v>
      </c>
      <c r="CB84" s="333">
        <f t="shared" si="32"/>
        <v>6.96</v>
      </c>
      <c r="CC84" s="423">
        <f t="shared" si="32"/>
        <v>6.96</v>
      </c>
      <c r="CD84" s="423">
        <f t="shared" si="32"/>
        <v>6.96</v>
      </c>
      <c r="CE84" s="333">
        <f t="shared" si="32"/>
        <v>6.96</v>
      </c>
      <c r="CF84" s="333">
        <f t="shared" si="32"/>
        <v>6.96</v>
      </c>
      <c r="CG84" s="333">
        <f t="shared" si="32"/>
        <v>6.96</v>
      </c>
      <c r="CH84" s="333">
        <f t="shared" si="32"/>
        <v>6.96</v>
      </c>
      <c r="CI84" s="333">
        <f t="shared" si="32"/>
        <v>6.96</v>
      </c>
      <c r="CJ84" s="333">
        <f t="shared" si="32"/>
        <v>6.96</v>
      </c>
      <c r="CK84" s="333">
        <f t="shared" si="32"/>
        <v>6.96</v>
      </c>
      <c r="CL84" s="675">
        <f t="shared" si="32"/>
        <v>6.96</v>
      </c>
      <c r="CM84" s="675">
        <f t="shared" si="32"/>
        <v>6.96</v>
      </c>
      <c r="CN84" s="675">
        <v>6.96</v>
      </c>
      <c r="CO84" s="675">
        <v>6.96</v>
      </c>
      <c r="CP84" s="714">
        <f>+CP85+0.1</f>
        <v>6.96</v>
      </c>
      <c r="CQ84" s="714">
        <f>+CQ85+0.1</f>
        <v>6.96</v>
      </c>
      <c r="CR84" s="675">
        <f>+CR85+0.1</f>
        <v>6.96</v>
      </c>
      <c r="CS84" s="714">
        <f>+CS85+0.1</f>
        <v>6.96</v>
      </c>
      <c r="CT84" s="739">
        <v>6.96</v>
      </c>
      <c r="CU84" s="714">
        <f>+CU85+0.1</f>
        <v>6.96</v>
      </c>
      <c r="CV84" s="714">
        <f>+CV85+0.1</f>
        <v>6.96</v>
      </c>
      <c r="CW84" s="714">
        <f>+CW85+0.1</f>
        <v>6.96</v>
      </c>
      <c r="CX84" s="726">
        <f t="shared" ref="CX84:CZ84" si="33">+CX85+0.1</f>
        <v>6.96</v>
      </c>
      <c r="CY84" s="726">
        <f t="shared" si="33"/>
        <v>6.96</v>
      </c>
      <c r="CZ84" s="726">
        <f t="shared" si="33"/>
        <v>6.96</v>
      </c>
      <c r="DA84" s="739">
        <f>+DA85+0.1</f>
        <v>6.96</v>
      </c>
      <c r="DB84" s="726">
        <f t="shared" ref="DB84:DK84" si="34">+DB85+0.1</f>
        <v>6.96</v>
      </c>
      <c r="DC84" s="726">
        <f t="shared" si="34"/>
        <v>6.96</v>
      </c>
      <c r="DD84" s="726">
        <f t="shared" si="34"/>
        <v>6.96</v>
      </c>
      <c r="DE84" s="726">
        <f t="shared" si="34"/>
        <v>6.96</v>
      </c>
      <c r="DF84" s="739">
        <f t="shared" si="34"/>
        <v>6.96</v>
      </c>
      <c r="DG84" s="726">
        <f t="shared" si="34"/>
        <v>6.96</v>
      </c>
      <c r="DH84" s="726">
        <f t="shared" si="34"/>
        <v>6.96</v>
      </c>
      <c r="DI84" s="726">
        <f t="shared" si="34"/>
        <v>6.96</v>
      </c>
      <c r="DJ84" s="726">
        <f t="shared" si="34"/>
        <v>6.96</v>
      </c>
      <c r="DK84" s="739">
        <f t="shared" si="34"/>
        <v>6.96</v>
      </c>
      <c r="DL84" s="726"/>
      <c r="DM84" s="726">
        <f t="shared" ref="DM84:DP84" si="35">+DM85+0.1</f>
        <v>6.96</v>
      </c>
      <c r="DN84" s="726">
        <f t="shared" si="35"/>
        <v>6.96</v>
      </c>
      <c r="DO84" s="726">
        <f t="shared" si="35"/>
        <v>6.96</v>
      </c>
      <c r="DP84" s="675">
        <f t="shared" si="35"/>
        <v>6.96</v>
      </c>
      <c r="DQ84" s="348" t="e">
        <f>DP84-#REF!</f>
        <v>#REF!</v>
      </c>
      <c r="DR84" s="744" t="e">
        <f>(+(DP84/#REF!-1))*100</f>
        <v>#REF!</v>
      </c>
      <c r="DS84" s="479"/>
      <c r="DT84" s="265"/>
      <c r="DU84" s="271"/>
    </row>
    <row r="85" spans="1:125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39">
        <v>6.86</v>
      </c>
      <c r="DB85" s="726">
        <v>6.86</v>
      </c>
      <c r="DC85" s="726">
        <v>6.86</v>
      </c>
      <c r="DD85" s="726">
        <v>6.86</v>
      </c>
      <c r="DE85" s="726">
        <v>6.86</v>
      </c>
      <c r="DF85" s="739">
        <v>6.86</v>
      </c>
      <c r="DG85" s="726">
        <v>6.86</v>
      </c>
      <c r="DH85" s="726">
        <v>6.86</v>
      </c>
      <c r="DI85" s="726">
        <v>6.86</v>
      </c>
      <c r="DJ85" s="726">
        <v>6.86</v>
      </c>
      <c r="DK85" s="739">
        <v>6.86</v>
      </c>
      <c r="DL85" s="726"/>
      <c r="DM85" s="726">
        <v>6.86</v>
      </c>
      <c r="DN85" s="726">
        <v>6.86</v>
      </c>
      <c r="DO85" s="726">
        <v>6.86</v>
      </c>
      <c r="DP85" s="675">
        <v>6.86</v>
      </c>
      <c r="DQ85" s="348" t="e">
        <f>DP85-#REF!</f>
        <v>#REF!</v>
      </c>
      <c r="DR85" s="744" t="e">
        <f>(+(DP85/#REF!-1))*100</f>
        <v>#REF!</v>
      </c>
      <c r="DS85" s="479"/>
      <c r="DT85" s="265"/>
      <c r="DU85" s="271"/>
    </row>
    <row r="86" spans="1:125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6.9578629706468451</v>
      </c>
      <c r="CY86" s="603">
        <v>6.9567347618105213</v>
      </c>
      <c r="CZ86" s="603">
        <v>6.9706196575809027</v>
      </c>
      <c r="DA86" s="604">
        <v>6.9565267021277801</v>
      </c>
      <c r="DB86" s="603">
        <v>6.9540128291142187</v>
      </c>
      <c r="DC86" s="603">
        <v>6.9559535365702185</v>
      </c>
      <c r="DD86" s="603">
        <v>6.9527323655279982</v>
      </c>
      <c r="DE86" s="603">
        <v>6.9576621190620056</v>
      </c>
      <c r="DF86" s="604">
        <v>6.9696297515744714</v>
      </c>
      <c r="DG86" s="603">
        <v>6.9428154037001075</v>
      </c>
      <c r="DH86" s="603">
        <v>6.9585282968715561</v>
      </c>
      <c r="DI86" s="603">
        <v>6.9560681298656695</v>
      </c>
      <c r="DJ86" s="603">
        <v>6.9600722218620037</v>
      </c>
      <c r="DK86" s="604">
        <v>6.9609688975523838</v>
      </c>
      <c r="DL86" s="603"/>
      <c r="DM86" s="603">
        <v>6.9613621950578626</v>
      </c>
      <c r="DN86" s="603">
        <v>6.9561046980010985</v>
      </c>
      <c r="DO86" s="603">
        <v>7.0090621705654179</v>
      </c>
      <c r="DP86" s="676">
        <v>6.9545828733074089</v>
      </c>
      <c r="DQ86" s="348" t="e">
        <f>DP86-#REF!</f>
        <v>#REF!</v>
      </c>
      <c r="DR86" s="744" t="e">
        <f>(+(DP86/#REF!-1))*100</f>
        <v>#REF!</v>
      </c>
      <c r="DS86" s="479"/>
      <c r="DT86" s="265"/>
      <c r="DU86" s="271"/>
    </row>
    <row r="87" spans="1:125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829"/>
      <c r="DB87" s="326"/>
      <c r="DC87" s="326"/>
      <c r="DD87" s="326"/>
      <c r="DE87" s="326"/>
      <c r="DF87" s="829"/>
      <c r="DG87" s="326"/>
      <c r="DH87" s="326"/>
      <c r="DI87" s="326"/>
      <c r="DJ87" s="326"/>
      <c r="DK87" s="829"/>
      <c r="DL87" s="326"/>
      <c r="DM87" s="326"/>
      <c r="DN87" s="326"/>
      <c r="DO87" s="326"/>
      <c r="DP87" s="829"/>
      <c r="DQ87" s="348" t="e">
        <f>DP87-#REF!</f>
        <v>#REF!</v>
      </c>
      <c r="DR87" s="744"/>
      <c r="DS87" s="479"/>
      <c r="DT87" s="265"/>
      <c r="DU87" s="271"/>
    </row>
    <row r="88" spans="1:125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f>+[129]MACRO!$I$1</f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f>+[79]MACRO!$I$1</f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2.1732499999999999</v>
      </c>
      <c r="CY88" s="727">
        <v>2.17347</v>
      </c>
      <c r="CZ88" s="727">
        <v>2.1736900000000001</v>
      </c>
      <c r="DA88" s="830">
        <v>2.1739099999999998</v>
      </c>
      <c r="DB88" s="727">
        <v>2.1745700000000001</v>
      </c>
      <c r="DC88" s="727">
        <v>2.1747899999999998</v>
      </c>
      <c r="DD88" s="727">
        <v>2.17502</v>
      </c>
      <c r="DE88" s="727">
        <v>2.1752500000000001</v>
      </c>
      <c r="DF88" s="830">
        <v>2.1754799999999999</v>
      </c>
      <c r="DG88" s="727">
        <v>2.1761699999999999</v>
      </c>
      <c r="DH88" s="727">
        <v>2.1764000000000001</v>
      </c>
      <c r="DI88" s="727">
        <v>2.1766299999999998</v>
      </c>
      <c r="DJ88" s="727">
        <v>2.17686</v>
      </c>
      <c r="DK88" s="830">
        <v>2.1770900000000002</v>
      </c>
      <c r="DL88" s="727"/>
      <c r="DM88" s="727">
        <v>2.17801</v>
      </c>
      <c r="DN88" s="727">
        <v>2.1782400000000002</v>
      </c>
      <c r="DO88" s="727">
        <v>2.1784699999999999</v>
      </c>
      <c r="DP88" s="830">
        <v>2.1787000000000001</v>
      </c>
      <c r="DQ88" s="348" t="e">
        <f>DP88-#REF!</f>
        <v>#REF!</v>
      </c>
      <c r="DR88" s="744" t="e">
        <f>(+(DP88/#REF!-1))*100</f>
        <v>#REF!</v>
      </c>
      <c r="DS88" s="479"/>
      <c r="DT88" s="628"/>
      <c r="DU88" s="271"/>
    </row>
    <row r="89" spans="1:125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829"/>
      <c r="DB89" s="326"/>
      <c r="DC89" s="326"/>
      <c r="DD89" s="326"/>
      <c r="DE89" s="326"/>
      <c r="DF89" s="829"/>
      <c r="DG89" s="326"/>
      <c r="DH89" s="326"/>
      <c r="DI89" s="326"/>
      <c r="DJ89" s="326"/>
      <c r="DK89" s="829"/>
      <c r="DL89" s="326"/>
      <c r="DM89" s="326"/>
      <c r="DN89" s="326"/>
      <c r="DO89" s="326"/>
      <c r="DP89" s="829"/>
      <c r="DQ89" s="551" t="e">
        <f>DP89-#REF!</f>
        <v>#REF!</v>
      </c>
      <c r="DR89" s="763"/>
      <c r="DS89" s="479"/>
      <c r="DT89" s="265"/>
      <c r="DU89" s="271"/>
    </row>
    <row r="90" spans="1:125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3"/>
      <c r="CW90" s="883"/>
      <c r="CX90" s="792"/>
      <c r="CY90" s="792"/>
      <c r="CZ90" s="792"/>
      <c r="DA90" s="902"/>
      <c r="DB90" s="792"/>
      <c r="DC90" s="792"/>
      <c r="DD90" s="792"/>
      <c r="DE90" s="792"/>
      <c r="DF90" s="902"/>
      <c r="DG90" s="792"/>
      <c r="DH90" s="792"/>
      <c r="DI90" s="792"/>
      <c r="DJ90" s="792"/>
      <c r="DK90" s="902"/>
      <c r="DL90" s="792"/>
      <c r="DM90" s="792"/>
      <c r="DN90" s="792"/>
      <c r="DO90" s="792"/>
      <c r="DP90" s="831"/>
      <c r="DQ90" s="546"/>
      <c r="DR90" s="730"/>
      <c r="DS90" s="479"/>
      <c r="DT90" s="265"/>
      <c r="DU90" s="271"/>
    </row>
    <row r="91" spans="1:125" ht="12.75" customHeight="1" thickBot="1" x14ac:dyDescent="0.25">
      <c r="A91" s="206"/>
      <c r="B91" s="906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4">
        <v>1532.86762846793</v>
      </c>
      <c r="CV91" s="844">
        <v>1654.1983506151603</v>
      </c>
      <c r="CW91" s="844">
        <v>1630.747856</v>
      </c>
      <c r="CX91" s="846">
        <v>1630.747856</v>
      </c>
      <c r="CY91" s="846">
        <v>1630.747856</v>
      </c>
      <c r="CZ91" s="846">
        <v>1630.747856</v>
      </c>
      <c r="DA91" s="845">
        <v>1661.0994902842563</v>
      </c>
      <c r="DB91" s="846">
        <v>1661.0994902842563</v>
      </c>
      <c r="DC91" s="846">
        <v>1661.0994902842563</v>
      </c>
      <c r="DD91" s="846">
        <v>1661.0994902842563</v>
      </c>
      <c r="DE91" s="846">
        <v>1661.0994902842563</v>
      </c>
      <c r="DF91" s="845">
        <v>1692.9617323250727</v>
      </c>
      <c r="DG91" s="846">
        <v>1692.9617323250727</v>
      </c>
      <c r="DH91" s="846">
        <v>1692.9617323250727</v>
      </c>
      <c r="DI91" s="846">
        <v>1692.9617323250727</v>
      </c>
      <c r="DJ91" s="846">
        <v>1692.9617323250727</v>
      </c>
      <c r="DK91" s="845">
        <v>1717.6474494402332</v>
      </c>
      <c r="DL91" s="846"/>
      <c r="DM91" s="846">
        <v>1717.6474494402332</v>
      </c>
      <c r="DN91" s="846">
        <v>1717.6474494402332</v>
      </c>
      <c r="DO91" s="846">
        <v>1717.6474494402332</v>
      </c>
      <c r="DP91" s="845">
        <v>1734.3680986720115</v>
      </c>
      <c r="DQ91" s="348" t="e">
        <f>DP91-#REF!</f>
        <v>#REF!</v>
      </c>
      <c r="DR91" s="744" t="e">
        <f>(+(DP91/#REF!-1))*100</f>
        <v>#REF!</v>
      </c>
      <c r="DS91" s="479"/>
      <c r="DT91" s="628"/>
      <c r="DU91" s="271"/>
    </row>
    <row r="92" spans="1:125" x14ac:dyDescent="0.2">
      <c r="A92" s="206"/>
      <c r="B92" s="906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8"/>
      <c r="DB92" s="376"/>
      <c r="DC92" s="376"/>
      <c r="DD92" s="376"/>
      <c r="DE92" s="376"/>
      <c r="DF92" s="378"/>
      <c r="DG92" s="376"/>
      <c r="DH92" s="376"/>
      <c r="DI92" s="376"/>
      <c r="DJ92" s="376"/>
      <c r="DK92" s="378"/>
      <c r="DL92" s="376"/>
      <c r="DM92" s="376"/>
      <c r="DN92" s="376"/>
      <c r="DO92" s="376"/>
      <c r="DP92" s="378"/>
      <c r="DQ92" s="548"/>
      <c r="DR92" s="378"/>
      <c r="DS92" s="479"/>
      <c r="DT92" s="265"/>
    </row>
    <row r="93" spans="1:125" ht="12.75" customHeight="1" x14ac:dyDescent="0.2">
      <c r="A93" s="206"/>
      <c r="B93" s="906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903"/>
      <c r="DB93" s="377"/>
      <c r="DC93" s="377"/>
      <c r="DD93" s="377"/>
      <c r="DE93" s="377"/>
      <c r="DF93" s="903"/>
      <c r="DG93" s="377"/>
      <c r="DH93" s="377"/>
      <c r="DI93" s="377"/>
      <c r="DJ93" s="377"/>
      <c r="DK93" s="903"/>
      <c r="DL93" s="377"/>
      <c r="DM93" s="377"/>
      <c r="DN93" s="377"/>
      <c r="DO93" s="377"/>
      <c r="DP93" s="699"/>
      <c r="DQ93" s="549"/>
      <c r="DR93" s="699"/>
      <c r="DS93" s="479"/>
      <c r="DT93" s="265"/>
    </row>
    <row r="94" spans="1:125" x14ac:dyDescent="0.2">
      <c r="A94" s="206"/>
      <c r="B94" s="906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903"/>
      <c r="DB94" s="377"/>
      <c r="DC94" s="377"/>
      <c r="DD94" s="377"/>
      <c r="DE94" s="377"/>
      <c r="DF94" s="903"/>
      <c r="DG94" s="377"/>
      <c r="DH94" s="377"/>
      <c r="DI94" s="377"/>
      <c r="DJ94" s="377"/>
      <c r="DK94" s="903"/>
      <c r="DL94" s="377"/>
      <c r="DM94" s="377"/>
      <c r="DN94" s="377"/>
      <c r="DO94" s="377"/>
      <c r="DP94" s="699"/>
      <c r="DQ94" s="549"/>
      <c r="DR94" s="699"/>
      <c r="DS94" s="479"/>
      <c r="DT94" s="265"/>
    </row>
    <row r="95" spans="1:125" x14ac:dyDescent="0.2">
      <c r="A95" s="206"/>
      <c r="B95" s="906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903"/>
      <c r="DB95" s="377"/>
      <c r="DC95" s="377"/>
      <c r="DD95" s="377"/>
      <c r="DE95" s="377"/>
      <c r="DF95" s="903"/>
      <c r="DG95" s="377"/>
      <c r="DH95" s="377"/>
      <c r="DI95" s="377"/>
      <c r="DJ95" s="377"/>
      <c r="DK95" s="903"/>
      <c r="DL95" s="377"/>
      <c r="DM95" s="377"/>
      <c r="DN95" s="377"/>
      <c r="DO95" s="377"/>
      <c r="DP95" s="699"/>
      <c r="DQ95" s="549"/>
      <c r="DR95" s="699"/>
      <c r="DS95" s="479"/>
      <c r="DT95" s="265"/>
    </row>
    <row r="96" spans="1:125" x14ac:dyDescent="0.2">
      <c r="A96" s="206"/>
      <c r="B96" s="906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903"/>
      <c r="DB96" s="377"/>
      <c r="DC96" s="377"/>
      <c r="DD96" s="377"/>
      <c r="DE96" s="377"/>
      <c r="DF96" s="903"/>
      <c r="DG96" s="377"/>
      <c r="DH96" s="377"/>
      <c r="DI96" s="377"/>
      <c r="DJ96" s="377"/>
      <c r="DK96" s="903"/>
      <c r="DL96" s="377"/>
      <c r="DM96" s="377"/>
      <c r="DN96" s="377"/>
      <c r="DO96" s="377"/>
      <c r="DP96" s="699"/>
      <c r="DQ96" s="549"/>
      <c r="DR96" s="699"/>
      <c r="DS96" s="479"/>
      <c r="DT96" s="265"/>
    </row>
    <row r="97" spans="1:124" x14ac:dyDescent="0.2">
      <c r="A97" s="206"/>
      <c r="B97" s="906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903"/>
      <c r="DB97" s="377"/>
      <c r="DC97" s="377"/>
      <c r="DD97" s="377"/>
      <c r="DE97" s="377"/>
      <c r="DF97" s="903"/>
      <c r="DG97" s="377"/>
      <c r="DH97" s="377"/>
      <c r="DI97" s="377"/>
      <c r="DJ97" s="377"/>
      <c r="DK97" s="903"/>
      <c r="DL97" s="377"/>
      <c r="DM97" s="377"/>
      <c r="DN97" s="377"/>
      <c r="DO97" s="377"/>
      <c r="DP97" s="699"/>
      <c r="DQ97" s="549"/>
      <c r="DR97" s="699"/>
      <c r="DS97" s="479"/>
      <c r="DT97" s="265"/>
    </row>
    <row r="98" spans="1:124" x14ac:dyDescent="0.2">
      <c r="A98" s="206"/>
      <c r="B98" s="906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f>(0.581731519168357/100)*100</f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903"/>
      <c r="DB98" s="377"/>
      <c r="DC98" s="377"/>
      <c r="DD98" s="377"/>
      <c r="DE98" s="377"/>
      <c r="DF98" s="903"/>
      <c r="DG98" s="377"/>
      <c r="DH98" s="377"/>
      <c r="DI98" s="377"/>
      <c r="DJ98" s="377"/>
      <c r="DK98" s="903"/>
      <c r="DL98" s="377"/>
      <c r="DM98" s="377"/>
      <c r="DN98" s="377"/>
      <c r="DO98" s="377"/>
      <c r="DP98" s="699"/>
      <c r="DQ98" s="549"/>
      <c r="DR98" s="699"/>
      <c r="DS98" s="479"/>
      <c r="DT98" s="265"/>
    </row>
    <row r="99" spans="1:124" x14ac:dyDescent="0.2">
      <c r="A99" s="206"/>
      <c r="B99" s="906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f>(4.33684902269107/100)*100</f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903"/>
      <c r="DB99" s="377"/>
      <c r="DC99" s="377"/>
      <c r="DD99" s="377"/>
      <c r="DE99" s="377"/>
      <c r="DF99" s="903"/>
      <c r="DG99" s="377"/>
      <c r="DH99" s="377"/>
      <c r="DI99" s="377"/>
      <c r="DJ99" s="377"/>
      <c r="DK99" s="903"/>
      <c r="DL99" s="377"/>
      <c r="DM99" s="377"/>
      <c r="DN99" s="377"/>
      <c r="DO99" s="377"/>
      <c r="DP99" s="699"/>
      <c r="DQ99" s="549"/>
      <c r="DR99" s="699"/>
      <c r="DS99" s="479"/>
      <c r="DT99" s="265"/>
    </row>
    <row r="100" spans="1:124" x14ac:dyDescent="0.2">
      <c r="A100" s="206"/>
      <c r="B100" s="906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f>(4.33684902269107/100)*100</f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903"/>
      <c r="DB100" s="377"/>
      <c r="DC100" s="377"/>
      <c r="DD100" s="377"/>
      <c r="DE100" s="377"/>
      <c r="DF100" s="903"/>
      <c r="DG100" s="377"/>
      <c r="DH100" s="377"/>
      <c r="DI100" s="377"/>
      <c r="DJ100" s="377"/>
      <c r="DK100" s="903"/>
      <c r="DL100" s="377"/>
      <c r="DM100" s="377"/>
      <c r="DN100" s="377"/>
      <c r="DO100" s="377"/>
      <c r="DP100" s="699"/>
      <c r="DQ100" s="549"/>
      <c r="DR100" s="699"/>
      <c r="DS100" s="479"/>
      <c r="DT100" s="265"/>
    </row>
    <row r="101" spans="1:124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f>(0.000838959696703555)*100</f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903"/>
      <c r="DB101" s="377"/>
      <c r="DC101" s="377"/>
      <c r="DD101" s="377"/>
      <c r="DE101" s="377"/>
      <c r="DF101" s="903"/>
      <c r="DG101" s="377"/>
      <c r="DH101" s="377"/>
      <c r="DI101" s="377"/>
      <c r="DJ101" s="377"/>
      <c r="DK101" s="903"/>
      <c r="DL101" s="377"/>
      <c r="DM101" s="377"/>
      <c r="DN101" s="377"/>
      <c r="DO101" s="377"/>
      <c r="DP101" s="699"/>
      <c r="DQ101" s="549"/>
      <c r="DR101" s="699"/>
      <c r="DS101" s="479"/>
      <c r="DT101" s="265"/>
    </row>
    <row r="102" spans="1:124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903"/>
      <c r="DB102" s="377"/>
      <c r="DC102" s="377"/>
      <c r="DD102" s="377"/>
      <c r="DE102" s="377"/>
      <c r="DF102" s="903"/>
      <c r="DG102" s="377"/>
      <c r="DH102" s="377"/>
      <c r="DI102" s="377"/>
      <c r="DJ102" s="377"/>
      <c r="DK102" s="903"/>
      <c r="DL102" s="377"/>
      <c r="DM102" s="377"/>
      <c r="DN102" s="377"/>
      <c r="DO102" s="377"/>
      <c r="DP102" s="699"/>
      <c r="DQ102" s="549"/>
      <c r="DR102" s="699"/>
      <c r="DS102" s="479"/>
      <c r="DT102" s="265"/>
    </row>
    <row r="103" spans="1:124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903"/>
      <c r="DB103" s="377"/>
      <c r="DC103" s="377"/>
      <c r="DD103" s="377"/>
      <c r="DE103" s="377"/>
      <c r="DF103" s="903"/>
      <c r="DG103" s="377"/>
      <c r="DH103" s="377"/>
      <c r="DI103" s="377"/>
      <c r="DJ103" s="377"/>
      <c r="DK103" s="903"/>
      <c r="DL103" s="377"/>
      <c r="DM103" s="377"/>
      <c r="DN103" s="377"/>
      <c r="DO103" s="377"/>
      <c r="DP103" s="699"/>
      <c r="DQ103" s="549"/>
      <c r="DR103" s="699"/>
      <c r="DS103" s="479"/>
      <c r="DT103" s="265"/>
    </row>
    <row r="104" spans="1:124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379"/>
      <c r="DB104" s="696"/>
      <c r="DC104" s="696"/>
      <c r="DD104" s="696"/>
      <c r="DE104" s="696"/>
      <c r="DF104" s="379"/>
      <c r="DG104" s="696"/>
      <c r="DH104" s="696"/>
      <c r="DI104" s="696"/>
      <c r="DJ104" s="696"/>
      <c r="DK104" s="379"/>
      <c r="DL104" s="696"/>
      <c r="DM104" s="696"/>
      <c r="DN104" s="696"/>
      <c r="DO104" s="696"/>
      <c r="DP104" s="379"/>
      <c r="DQ104" s="549"/>
      <c r="DR104" s="699"/>
      <c r="DS104" s="479"/>
      <c r="DT104" s="265"/>
    </row>
    <row r="105" spans="1:124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8"/>
      <c r="DB105" s="376"/>
      <c r="DC105" s="376"/>
      <c r="DD105" s="376"/>
      <c r="DE105" s="376"/>
      <c r="DF105" s="378"/>
      <c r="DG105" s="376"/>
      <c r="DH105" s="376"/>
      <c r="DI105" s="376"/>
      <c r="DJ105" s="376"/>
      <c r="DK105" s="378"/>
      <c r="DL105" s="376"/>
      <c r="DM105" s="376"/>
      <c r="DN105" s="376"/>
      <c r="DO105" s="376"/>
      <c r="DP105" s="378"/>
      <c r="DQ105" s="550"/>
      <c r="DR105" s="481"/>
      <c r="DS105" s="479"/>
      <c r="DT105" s="265"/>
    </row>
    <row r="106" spans="1:124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48">
        <v>2.5</v>
      </c>
      <c r="DB106" s="690">
        <v>2.5</v>
      </c>
      <c r="DC106" s="690">
        <v>2.5</v>
      </c>
      <c r="DD106" s="690">
        <v>2.5</v>
      </c>
      <c r="DE106" s="690">
        <v>2.5</v>
      </c>
      <c r="DF106" s="648">
        <v>2.5</v>
      </c>
      <c r="DG106" s="690">
        <v>2.5</v>
      </c>
      <c r="DH106" s="690">
        <v>2.5</v>
      </c>
      <c r="DI106" s="690">
        <v>2.5</v>
      </c>
      <c r="DJ106" s="690">
        <v>2.5</v>
      </c>
      <c r="DK106" s="648">
        <v>2.5</v>
      </c>
      <c r="DL106" s="690"/>
      <c r="DM106" s="690">
        <v>2.5</v>
      </c>
      <c r="DN106" s="690">
        <v>2.5</v>
      </c>
      <c r="DO106" s="690">
        <v>2.5</v>
      </c>
      <c r="DP106" s="685">
        <v>2.5</v>
      </c>
      <c r="DQ106" s="348" t="s">
        <v>3</v>
      </c>
      <c r="DR106" s="731"/>
      <c r="DS106" s="479"/>
      <c r="DT106" s="265"/>
    </row>
    <row r="107" spans="1:124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49">
        <v>4</v>
      </c>
      <c r="DB107" s="697">
        <v>4</v>
      </c>
      <c r="DC107" s="697">
        <v>4</v>
      </c>
      <c r="DD107" s="697">
        <v>4</v>
      </c>
      <c r="DE107" s="697">
        <v>4</v>
      </c>
      <c r="DF107" s="649">
        <v>4</v>
      </c>
      <c r="DG107" s="697">
        <v>4</v>
      </c>
      <c r="DH107" s="697">
        <v>4</v>
      </c>
      <c r="DI107" s="697">
        <v>4</v>
      </c>
      <c r="DJ107" s="697">
        <v>4</v>
      </c>
      <c r="DK107" s="649">
        <v>4</v>
      </c>
      <c r="DL107" s="697"/>
      <c r="DM107" s="697">
        <v>4</v>
      </c>
      <c r="DN107" s="697">
        <v>4</v>
      </c>
      <c r="DO107" s="697">
        <v>4</v>
      </c>
      <c r="DP107" s="649">
        <v>4</v>
      </c>
      <c r="DQ107" s="551" t="s">
        <v>3</v>
      </c>
      <c r="DR107" s="482"/>
      <c r="DS107" s="479"/>
      <c r="DT107" s="265"/>
    </row>
    <row r="108" spans="1:124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18"/>
      <c r="DF108" s="218"/>
      <c r="DG108" s="218"/>
      <c r="DH108" s="218"/>
      <c r="DI108" s="218"/>
      <c r="DJ108" s="218"/>
      <c r="DK108" s="218"/>
      <c r="DL108" s="218"/>
      <c r="DM108" s="218"/>
      <c r="DN108" s="218"/>
      <c r="DO108" s="218"/>
      <c r="DP108" s="218"/>
      <c r="DQ108" s="283"/>
      <c r="DR108" s="283"/>
      <c r="DS108" s="363"/>
      <c r="DT108" s="265"/>
    </row>
    <row r="109" spans="1:124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919"/>
      <c r="DR109" s="919"/>
      <c r="DS109" s="363"/>
      <c r="DT109" s="265"/>
    </row>
    <row r="110" spans="1:124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84"/>
      <c r="DR110" s="285"/>
      <c r="DS110" s="363"/>
      <c r="DT110" s="265"/>
    </row>
    <row r="111" spans="1:124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84"/>
      <c r="DR111" s="285"/>
      <c r="DS111" s="363"/>
      <c r="DT111" s="265"/>
    </row>
    <row r="112" spans="1:124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84"/>
      <c r="DR112" s="285"/>
      <c r="DS112" s="363"/>
      <c r="DT112" s="265"/>
    </row>
    <row r="113" spans="3:124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  <c r="DN113" s="293"/>
      <c r="DO113" s="293"/>
      <c r="DP113" s="293"/>
      <c r="DQ113" s="284"/>
      <c r="DR113" s="283"/>
      <c r="DS113" s="363"/>
      <c r="DT113" s="265"/>
    </row>
    <row r="114" spans="3:124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L114" s="684"/>
      <c r="DM114" s="684"/>
      <c r="DN114" s="684"/>
      <c r="DO114" s="684"/>
      <c r="DQ114" s="283"/>
      <c r="DR114" s="283"/>
      <c r="DS114" s="363"/>
      <c r="DT114" s="265"/>
    </row>
    <row r="115" spans="3:124" ht="13.5" customHeight="1" x14ac:dyDescent="0.25">
      <c r="C115" s="6">
        <v>2</v>
      </c>
      <c r="D115" s="1" t="s">
        <v>35</v>
      </c>
      <c r="DL115" s="683"/>
      <c r="DM115" s="683"/>
      <c r="DN115" s="683"/>
      <c r="DO115" s="683"/>
      <c r="DP115" s="283"/>
      <c r="DQ115" s="283"/>
      <c r="DR115" s="283"/>
      <c r="DS115" s="363"/>
      <c r="DT115" s="265"/>
    </row>
    <row r="116" spans="3:124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683"/>
      <c r="DM116" s="683"/>
      <c r="DN116" s="683"/>
      <c r="DO116" s="683"/>
      <c r="DP116" s="283"/>
      <c r="DQ116" s="283"/>
      <c r="DR116" s="283"/>
      <c r="DS116" s="363"/>
      <c r="DT116" s="265"/>
    </row>
    <row r="117" spans="3:124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683"/>
      <c r="DM117" s="683"/>
      <c r="DN117" s="683"/>
      <c r="DO117" s="683"/>
      <c r="DP117" s="283"/>
      <c r="DQ117" s="283"/>
      <c r="DR117" s="283"/>
      <c r="DS117" s="363"/>
      <c r="DT117" s="265"/>
    </row>
    <row r="118" spans="3:124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683"/>
      <c r="DM118" s="683"/>
      <c r="DN118" s="683"/>
      <c r="DO118" s="683"/>
      <c r="DP118" s="283"/>
      <c r="DQ118" s="283"/>
      <c r="DR118" s="283"/>
      <c r="DS118" s="363"/>
      <c r="DT118" s="265"/>
    </row>
    <row r="119" spans="3:124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6"/>
      <c r="DM119" s="286"/>
      <c r="DN119" s="286"/>
      <c r="DO119" s="286"/>
      <c r="DP119" s="286"/>
      <c r="DQ119" s="286"/>
      <c r="DR119" s="286"/>
      <c r="DS119" s="363"/>
      <c r="DT119" s="265"/>
    </row>
    <row r="120" spans="3:124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286"/>
      <c r="DH120" s="286"/>
      <c r="DI120" s="286"/>
      <c r="DJ120" s="286"/>
      <c r="DK120" s="286"/>
      <c r="DL120" s="286"/>
      <c r="DM120" s="286"/>
      <c r="DN120" s="286"/>
      <c r="DO120" s="286"/>
      <c r="DP120" s="286"/>
      <c r="DQ120" s="286"/>
      <c r="DR120" s="286"/>
      <c r="DS120" s="363"/>
      <c r="DT120" s="265"/>
    </row>
    <row r="121" spans="3:124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6"/>
      <c r="DI121" s="286"/>
      <c r="DJ121" s="286"/>
      <c r="DK121" s="286"/>
      <c r="DL121" s="286"/>
      <c r="DM121" s="286"/>
      <c r="DN121" s="286"/>
      <c r="DO121" s="286"/>
      <c r="DP121" s="286"/>
      <c r="DQ121" s="286"/>
      <c r="DR121" s="286"/>
      <c r="DS121" s="363"/>
      <c r="DT121" s="265"/>
    </row>
    <row r="122" spans="3:124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363"/>
      <c r="DT122" s="265"/>
    </row>
    <row r="123" spans="3:124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6"/>
      <c r="DI123" s="286"/>
      <c r="DJ123" s="286"/>
      <c r="DK123" s="286"/>
      <c r="DL123" s="286"/>
      <c r="DM123" s="286"/>
      <c r="DN123" s="286"/>
      <c r="DO123" s="286"/>
      <c r="DP123" s="286"/>
      <c r="DQ123" s="286"/>
      <c r="DR123" s="286"/>
      <c r="DS123" s="363"/>
      <c r="DT123" s="265"/>
    </row>
    <row r="124" spans="3:124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363"/>
      <c r="DT124" s="265"/>
    </row>
    <row r="125" spans="3:124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6"/>
      <c r="DI125" s="286"/>
      <c r="DJ125" s="286"/>
      <c r="DK125" s="286"/>
      <c r="DL125" s="286"/>
      <c r="DM125" s="286"/>
      <c r="DN125" s="286"/>
      <c r="DO125" s="286"/>
      <c r="DP125" s="286"/>
      <c r="DQ125" s="286"/>
      <c r="DR125" s="286"/>
      <c r="DS125" s="363"/>
      <c r="DT125" s="265"/>
    </row>
    <row r="126" spans="3:124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363"/>
      <c r="DT126" s="265"/>
    </row>
    <row r="127" spans="3:124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286"/>
      <c r="DH127" s="286"/>
      <c r="DI127" s="286"/>
      <c r="DJ127" s="286"/>
      <c r="DK127" s="286"/>
      <c r="DL127" s="286"/>
      <c r="DM127" s="286"/>
      <c r="DN127" s="286"/>
      <c r="DO127" s="286"/>
      <c r="DP127" s="286"/>
      <c r="DQ127" s="286"/>
      <c r="DR127" s="286"/>
      <c r="DS127" s="363"/>
      <c r="DT127" s="265"/>
    </row>
    <row r="128" spans="3:124" ht="12.6" customHeight="1" x14ac:dyDescent="0.25">
      <c r="C128" s="6">
        <v>14</v>
      </c>
      <c r="D128" s="1" t="s">
        <v>236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</row>
    <row r="129" spans="3:122" ht="12.6" customHeight="1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</row>
    <row r="130" spans="3:122" ht="14.25" x14ac:dyDescent="0.25">
      <c r="C130" s="6">
        <v>15</v>
      </c>
      <c r="D130" s="1" t="s">
        <v>241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</row>
    <row r="131" spans="3:122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</row>
    <row r="132" spans="3:122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</row>
    <row r="133" spans="3:122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</row>
    <row r="134" spans="3:122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</row>
    <row r="135" spans="3:122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</row>
    <row r="136" spans="3:122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</row>
    <row r="137" spans="3:122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</row>
    <row r="138" spans="3:122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</row>
    <row r="139" spans="3:122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</row>
    <row r="140" spans="3:122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</row>
    <row r="141" spans="3:122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</row>
    <row r="142" spans="3:122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</row>
    <row r="143" spans="3:122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</row>
    <row r="144" spans="3:122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</row>
    <row r="145" spans="3:122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  <c r="DG145" s="287"/>
      <c r="DH145" s="287"/>
      <c r="DI145" s="287"/>
      <c r="DJ145" s="287"/>
      <c r="DK145" s="287"/>
      <c r="DL145" s="287"/>
      <c r="DM145" s="287"/>
      <c r="DN145" s="287"/>
      <c r="DO145" s="287"/>
      <c r="DP145" s="287"/>
      <c r="DQ145" s="287"/>
      <c r="DR145" s="287"/>
    </row>
    <row r="146" spans="3:122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  <c r="DG146" s="287"/>
      <c r="DH146" s="287"/>
      <c r="DI146" s="287"/>
      <c r="DJ146" s="287"/>
      <c r="DK146" s="287"/>
      <c r="DL146" s="287"/>
      <c r="DM146" s="287"/>
      <c r="DN146" s="287"/>
      <c r="DO146" s="287"/>
      <c r="DP146" s="287"/>
      <c r="DQ146" s="287"/>
      <c r="DR146" s="287"/>
    </row>
    <row r="147" spans="3:122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  <c r="DG147" s="287"/>
      <c r="DH147" s="287"/>
      <c r="DI147" s="287"/>
      <c r="DJ147" s="287"/>
      <c r="DK147" s="287"/>
      <c r="DL147" s="287"/>
      <c r="DM147" s="287"/>
      <c r="DN147" s="287"/>
      <c r="DO147" s="287"/>
      <c r="DP147" s="287"/>
      <c r="DQ147" s="287"/>
      <c r="DR147" s="287"/>
    </row>
    <row r="148" spans="3:122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  <c r="DG148" s="287"/>
      <c r="DH148" s="287"/>
      <c r="DI148" s="287"/>
      <c r="DJ148" s="287"/>
      <c r="DK148" s="287"/>
      <c r="DL148" s="287"/>
      <c r="DM148" s="287"/>
      <c r="DN148" s="287"/>
      <c r="DO148" s="287"/>
      <c r="DP148" s="287"/>
      <c r="DQ148" s="287"/>
      <c r="DR148" s="287"/>
    </row>
    <row r="149" spans="3:122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  <c r="DG149" s="287"/>
      <c r="DH149" s="287"/>
      <c r="DI149" s="287"/>
      <c r="DJ149" s="287"/>
      <c r="DK149" s="287"/>
      <c r="DL149" s="287"/>
      <c r="DM149" s="287"/>
      <c r="DN149" s="287"/>
      <c r="DO149" s="287"/>
      <c r="DP149" s="287"/>
      <c r="DQ149" s="287"/>
      <c r="DR149" s="287"/>
    </row>
    <row r="150" spans="3:122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  <c r="DG150" s="287"/>
      <c r="DH150" s="287"/>
      <c r="DI150" s="287"/>
      <c r="DJ150" s="287"/>
      <c r="DK150" s="287"/>
      <c r="DL150" s="287"/>
      <c r="DM150" s="287"/>
      <c r="DN150" s="287"/>
      <c r="DO150" s="287"/>
      <c r="DP150" s="287"/>
      <c r="DQ150" s="287"/>
      <c r="DR150" s="287"/>
    </row>
    <row r="151" spans="3:122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  <c r="DG151" s="287"/>
      <c r="DH151" s="287"/>
      <c r="DI151" s="287"/>
      <c r="DJ151" s="287"/>
      <c r="DK151" s="287"/>
      <c r="DL151" s="287"/>
      <c r="DM151" s="287"/>
      <c r="DN151" s="287"/>
      <c r="DO151" s="287"/>
      <c r="DP151" s="287"/>
      <c r="DQ151" s="287"/>
      <c r="DR151" s="287"/>
    </row>
    <row r="152" spans="3:122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  <c r="DG152" s="287"/>
      <c r="DH152" s="287"/>
      <c r="DI152" s="287"/>
      <c r="DJ152" s="287"/>
      <c r="DK152" s="287"/>
      <c r="DL152" s="287"/>
      <c r="DM152" s="287"/>
      <c r="DN152" s="287"/>
      <c r="DO152" s="287"/>
      <c r="DP152" s="287"/>
      <c r="DQ152" s="287"/>
      <c r="DR152" s="287"/>
    </row>
    <row r="153" spans="3:122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  <c r="DG153" s="287"/>
      <c r="DH153" s="287"/>
      <c r="DI153" s="287"/>
      <c r="DJ153" s="287"/>
      <c r="DK153" s="287"/>
      <c r="DL153" s="287"/>
      <c r="DM153" s="287"/>
      <c r="DN153" s="287"/>
      <c r="DO153" s="287"/>
      <c r="DP153" s="287"/>
      <c r="DQ153" s="287"/>
      <c r="DR153" s="287"/>
    </row>
    <row r="154" spans="3:122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  <c r="DG154" s="287"/>
      <c r="DH154" s="287"/>
      <c r="DI154" s="287"/>
      <c r="DJ154" s="287"/>
      <c r="DK154" s="287"/>
      <c r="DL154" s="287"/>
      <c r="DM154" s="287"/>
      <c r="DN154" s="287"/>
      <c r="DO154" s="287"/>
      <c r="DP154" s="287"/>
      <c r="DQ154" s="287"/>
      <c r="DR154" s="287"/>
    </row>
    <row r="155" spans="3:122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  <c r="DO155" s="287"/>
      <c r="DP155" s="287"/>
      <c r="DQ155" s="287"/>
      <c r="DR155" s="287"/>
    </row>
    <row r="156" spans="3:122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  <c r="DG156" s="287"/>
      <c r="DH156" s="287"/>
      <c r="DI156" s="287"/>
      <c r="DJ156" s="287"/>
      <c r="DK156" s="287"/>
      <c r="DL156" s="287"/>
      <c r="DM156" s="287"/>
      <c r="DN156" s="287"/>
      <c r="DO156" s="287"/>
      <c r="DP156" s="287"/>
      <c r="DQ156" s="287"/>
      <c r="DR156" s="287"/>
    </row>
    <row r="157" spans="3:122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  <c r="DG157" s="287"/>
      <c r="DH157" s="287"/>
      <c r="DI157" s="287"/>
      <c r="DJ157" s="287"/>
      <c r="DK157" s="287"/>
      <c r="DL157" s="287"/>
      <c r="DM157" s="287"/>
      <c r="DN157" s="287"/>
      <c r="DO157" s="287"/>
      <c r="DP157" s="287"/>
      <c r="DQ157" s="287"/>
      <c r="DR157" s="287"/>
    </row>
    <row r="158" spans="3:122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  <c r="DG158" s="287"/>
      <c r="DH158" s="287"/>
      <c r="DI158" s="287"/>
      <c r="DJ158" s="287"/>
      <c r="DK158" s="287"/>
      <c r="DL158" s="287"/>
      <c r="DM158" s="287"/>
      <c r="DN158" s="287"/>
      <c r="DO158" s="287"/>
      <c r="DP158" s="287"/>
      <c r="DQ158" s="287"/>
      <c r="DR158" s="287"/>
    </row>
    <row r="159" spans="3:122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  <c r="DG159" s="287"/>
      <c r="DH159" s="287"/>
      <c r="DI159" s="287"/>
      <c r="DJ159" s="287"/>
      <c r="DK159" s="287"/>
      <c r="DL159" s="287"/>
      <c r="DM159" s="287"/>
      <c r="DN159" s="287"/>
      <c r="DO159" s="287"/>
      <c r="DP159" s="287"/>
      <c r="DQ159" s="287"/>
      <c r="DR159" s="287"/>
    </row>
    <row r="160" spans="3:122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  <c r="DG160" s="287"/>
      <c r="DH160" s="287"/>
      <c r="DI160" s="287"/>
      <c r="DJ160" s="287"/>
      <c r="DK160" s="287"/>
      <c r="DL160" s="287"/>
      <c r="DM160" s="287"/>
      <c r="DN160" s="287"/>
      <c r="DO160" s="287"/>
      <c r="DP160" s="287"/>
      <c r="DQ160" s="287"/>
      <c r="DR160" s="287"/>
    </row>
    <row r="161" spans="3:122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  <c r="DG161" s="287"/>
      <c r="DH161" s="287"/>
      <c r="DI161" s="287"/>
      <c r="DJ161" s="287"/>
      <c r="DK161" s="287"/>
      <c r="DL161" s="287"/>
      <c r="DM161" s="287"/>
      <c r="DN161" s="287"/>
      <c r="DO161" s="287"/>
      <c r="DP161" s="287"/>
      <c r="DQ161" s="287"/>
      <c r="DR161" s="287"/>
    </row>
    <row r="162" spans="3:122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  <c r="DG162" s="287"/>
      <c r="DH162" s="287"/>
      <c r="DI162" s="287"/>
      <c r="DJ162" s="287"/>
      <c r="DK162" s="287"/>
      <c r="DL162" s="287"/>
      <c r="DM162" s="287"/>
      <c r="DN162" s="287"/>
      <c r="DO162" s="287"/>
      <c r="DP162" s="287"/>
      <c r="DQ162" s="287"/>
      <c r="DR162" s="287"/>
    </row>
    <row r="163" spans="3:122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  <c r="DG163" s="287"/>
      <c r="DH163" s="287"/>
      <c r="DI163" s="287"/>
      <c r="DJ163" s="287"/>
      <c r="DK163" s="287"/>
      <c r="DL163" s="287"/>
      <c r="DM163" s="287"/>
      <c r="DN163" s="287"/>
      <c r="DO163" s="287"/>
      <c r="DP163" s="287"/>
      <c r="DQ163" s="287"/>
      <c r="DR163" s="287"/>
    </row>
    <row r="164" spans="3:122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  <c r="DG164" s="287"/>
      <c r="DH164" s="287"/>
      <c r="DI164" s="287"/>
      <c r="DJ164" s="287"/>
      <c r="DK164" s="287"/>
      <c r="DL164" s="287"/>
      <c r="DM164" s="287"/>
      <c r="DN164" s="287"/>
      <c r="DO164" s="287"/>
      <c r="DP164" s="287"/>
      <c r="DQ164" s="287"/>
      <c r="DR164" s="287"/>
    </row>
    <row r="165" spans="3:122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  <c r="DG165" s="287"/>
      <c r="DH165" s="287"/>
      <c r="DI165" s="287"/>
      <c r="DJ165" s="287"/>
      <c r="DK165" s="287"/>
      <c r="DL165" s="287"/>
      <c r="DM165" s="287"/>
      <c r="DN165" s="287"/>
      <c r="DO165" s="287"/>
      <c r="DP165" s="287"/>
      <c r="DQ165" s="287"/>
      <c r="DR165" s="287"/>
    </row>
    <row r="166" spans="3:122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  <c r="DG166" s="287"/>
      <c r="DH166" s="287"/>
      <c r="DI166" s="287"/>
      <c r="DJ166" s="287"/>
      <c r="DK166" s="287"/>
      <c r="DL166" s="287"/>
      <c r="DM166" s="287"/>
      <c r="DN166" s="287"/>
      <c r="DO166" s="287"/>
      <c r="DP166" s="287"/>
      <c r="DQ166" s="287"/>
      <c r="DR166" s="287"/>
    </row>
    <row r="167" spans="3:122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  <c r="DG167" s="287"/>
      <c r="DH167" s="287"/>
      <c r="DI167" s="287"/>
      <c r="DJ167" s="287"/>
      <c r="DK167" s="287"/>
      <c r="DL167" s="287"/>
      <c r="DM167" s="287"/>
      <c r="DN167" s="287"/>
      <c r="DO167" s="287"/>
      <c r="DP167" s="287"/>
      <c r="DQ167" s="287"/>
      <c r="DR167" s="287"/>
    </row>
    <row r="168" spans="3:122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  <c r="DG168" s="287"/>
      <c r="DH168" s="287"/>
      <c r="DI168" s="287"/>
      <c r="DJ168" s="287"/>
      <c r="DK168" s="287"/>
      <c r="DL168" s="287"/>
      <c r="DM168" s="287"/>
      <c r="DN168" s="287"/>
      <c r="DO168" s="287"/>
      <c r="DP168" s="287"/>
      <c r="DQ168" s="287"/>
      <c r="DR168" s="287"/>
    </row>
    <row r="169" spans="3:122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  <c r="DG169" s="287"/>
      <c r="DH169" s="287"/>
      <c r="DI169" s="287"/>
      <c r="DJ169" s="287"/>
      <c r="DK169" s="287"/>
      <c r="DL169" s="287"/>
      <c r="DM169" s="287"/>
      <c r="DN169" s="287"/>
      <c r="DO169" s="287"/>
      <c r="DP169" s="287"/>
      <c r="DQ169" s="287"/>
      <c r="DR169" s="287"/>
    </row>
    <row r="170" spans="3:122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  <c r="DG170" s="287"/>
      <c r="DH170" s="287"/>
      <c r="DI170" s="287"/>
      <c r="DJ170" s="287"/>
      <c r="DK170" s="287"/>
      <c r="DL170" s="287"/>
      <c r="DM170" s="287"/>
      <c r="DN170" s="287"/>
      <c r="DO170" s="287"/>
      <c r="DP170" s="287"/>
      <c r="DQ170" s="287"/>
      <c r="DR170" s="287"/>
    </row>
    <row r="171" spans="3:122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  <c r="DG171" s="287"/>
      <c r="DH171" s="287"/>
      <c r="DI171" s="287"/>
      <c r="DJ171" s="287"/>
      <c r="DK171" s="287"/>
      <c r="DL171" s="287"/>
      <c r="DM171" s="287"/>
      <c r="DN171" s="287"/>
      <c r="DO171" s="287"/>
      <c r="DP171" s="287"/>
      <c r="DQ171" s="287"/>
      <c r="DR171" s="287"/>
    </row>
    <row r="172" spans="3:122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  <c r="DG172" s="287"/>
      <c r="DH172" s="287"/>
      <c r="DI172" s="287"/>
      <c r="DJ172" s="287"/>
      <c r="DK172" s="287"/>
      <c r="DL172" s="287"/>
      <c r="DM172" s="287"/>
      <c r="DN172" s="287"/>
      <c r="DO172" s="287"/>
      <c r="DP172" s="287"/>
      <c r="DQ172" s="287"/>
      <c r="DR172" s="287"/>
    </row>
    <row r="173" spans="3:122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  <c r="DG173" s="287"/>
      <c r="DH173" s="287"/>
      <c r="DI173" s="287"/>
      <c r="DJ173" s="287"/>
      <c r="DK173" s="287"/>
      <c r="DL173" s="287"/>
      <c r="DM173" s="287"/>
      <c r="DN173" s="287"/>
      <c r="DO173" s="287"/>
      <c r="DP173" s="287"/>
      <c r="DQ173" s="287"/>
      <c r="DR173" s="287"/>
    </row>
    <row r="174" spans="3:122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  <c r="DG174" s="287"/>
      <c r="DH174" s="287"/>
      <c r="DI174" s="287"/>
      <c r="DJ174" s="287"/>
      <c r="DK174" s="287"/>
      <c r="DL174" s="287"/>
      <c r="DM174" s="287"/>
      <c r="DN174" s="287"/>
      <c r="DO174" s="287"/>
      <c r="DP174" s="287"/>
      <c r="DQ174" s="287"/>
      <c r="DR174" s="287"/>
    </row>
    <row r="175" spans="3:122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  <c r="DO175" s="287"/>
      <c r="DP175" s="287"/>
      <c r="DQ175" s="287"/>
      <c r="DR175" s="287"/>
    </row>
    <row r="176" spans="3:122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  <c r="DG176" s="287"/>
      <c r="DH176" s="287"/>
      <c r="DI176" s="287"/>
      <c r="DJ176" s="287"/>
      <c r="DK176" s="287"/>
      <c r="DL176" s="287"/>
      <c r="DM176" s="287"/>
      <c r="DN176" s="287"/>
      <c r="DO176" s="287"/>
      <c r="DP176" s="287"/>
      <c r="DQ176" s="287"/>
      <c r="DR176" s="287"/>
    </row>
    <row r="177" spans="3:122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  <c r="DG177" s="287"/>
      <c r="DH177" s="287"/>
      <c r="DI177" s="287"/>
      <c r="DJ177" s="287"/>
      <c r="DK177" s="287"/>
      <c r="DL177" s="287"/>
      <c r="DM177" s="287"/>
      <c r="DN177" s="287"/>
      <c r="DO177" s="287"/>
      <c r="DP177" s="287"/>
      <c r="DQ177" s="287"/>
      <c r="DR177" s="287"/>
    </row>
    <row r="178" spans="3:122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</row>
    <row r="179" spans="3:122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</row>
    <row r="180" spans="3:122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</row>
    <row r="181" spans="3:122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  <c r="DG181" s="287"/>
      <c r="DH181" s="287"/>
      <c r="DI181" s="287"/>
      <c r="DJ181" s="287"/>
      <c r="DK181" s="287"/>
      <c r="DL181" s="287"/>
      <c r="DM181" s="287"/>
      <c r="DN181" s="287"/>
      <c r="DO181" s="287"/>
      <c r="DP181" s="287"/>
      <c r="DQ181" s="287"/>
      <c r="DR181" s="287"/>
    </row>
    <row r="182" spans="3:122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  <c r="DG182" s="287"/>
      <c r="DH182" s="287"/>
      <c r="DI182" s="287"/>
      <c r="DJ182" s="287"/>
      <c r="DK182" s="287"/>
      <c r="DL182" s="287"/>
      <c r="DM182" s="287"/>
      <c r="DN182" s="287"/>
      <c r="DO182" s="287"/>
      <c r="DP182" s="287"/>
      <c r="DQ182" s="287"/>
      <c r="DR182" s="287"/>
    </row>
    <row r="183" spans="3:122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  <c r="DG183" s="287"/>
      <c r="DH183" s="287"/>
      <c r="DI183" s="287"/>
      <c r="DJ183" s="287"/>
      <c r="DK183" s="287"/>
      <c r="DL183" s="287"/>
      <c r="DM183" s="287"/>
      <c r="DN183" s="287"/>
      <c r="DO183" s="287"/>
      <c r="DP183" s="287"/>
      <c r="DQ183" s="287"/>
      <c r="DR183" s="287"/>
    </row>
    <row r="184" spans="3:122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  <c r="DG184" s="287"/>
      <c r="DH184" s="287"/>
      <c r="DI184" s="287"/>
      <c r="DJ184" s="287"/>
      <c r="DK184" s="287"/>
      <c r="DL184" s="287"/>
      <c r="DM184" s="287"/>
      <c r="DN184" s="287"/>
      <c r="DO184" s="287"/>
      <c r="DP184" s="287"/>
      <c r="DQ184" s="287"/>
      <c r="DR184" s="287"/>
    </row>
    <row r="185" spans="3:122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  <c r="DG185" s="287"/>
      <c r="DH185" s="287"/>
      <c r="DI185" s="287"/>
      <c r="DJ185" s="287"/>
      <c r="DK185" s="287"/>
      <c r="DL185" s="287"/>
      <c r="DM185" s="287"/>
      <c r="DN185" s="287"/>
      <c r="DO185" s="287"/>
      <c r="DP185" s="287"/>
      <c r="DQ185" s="287"/>
      <c r="DR185" s="287"/>
    </row>
    <row r="186" spans="3:122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  <c r="DG186" s="287"/>
      <c r="DH186" s="287"/>
      <c r="DI186" s="287"/>
      <c r="DJ186" s="287"/>
      <c r="DK186" s="287"/>
      <c r="DL186" s="287"/>
      <c r="DM186" s="287"/>
      <c r="DN186" s="287"/>
      <c r="DO186" s="287"/>
      <c r="DP186" s="287"/>
      <c r="DQ186" s="287"/>
      <c r="DR186" s="287"/>
    </row>
    <row r="187" spans="3:122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  <c r="DG187" s="287"/>
      <c r="DH187" s="287"/>
      <c r="DI187" s="287"/>
      <c r="DJ187" s="287"/>
      <c r="DK187" s="287"/>
      <c r="DL187" s="287"/>
      <c r="DM187" s="287"/>
      <c r="DN187" s="287"/>
      <c r="DO187" s="287"/>
      <c r="DP187" s="287"/>
      <c r="DQ187" s="287"/>
      <c r="DR187" s="287"/>
    </row>
    <row r="188" spans="3:122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  <c r="DG188" s="287"/>
      <c r="DH188" s="287"/>
      <c r="DI188" s="287"/>
      <c r="DJ188" s="287"/>
      <c r="DK188" s="287"/>
      <c r="DL188" s="287"/>
      <c r="DM188" s="287"/>
      <c r="DN188" s="287"/>
      <c r="DO188" s="287"/>
      <c r="DP188" s="287"/>
      <c r="DQ188" s="287"/>
      <c r="DR188" s="287"/>
    </row>
    <row r="189" spans="3:122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  <c r="DG189" s="287"/>
      <c r="DH189" s="287"/>
      <c r="DI189" s="287"/>
      <c r="DJ189" s="287"/>
      <c r="DK189" s="287"/>
      <c r="DL189" s="287"/>
      <c r="DM189" s="287"/>
      <c r="DN189" s="287"/>
      <c r="DO189" s="287"/>
      <c r="DP189" s="287"/>
      <c r="DQ189" s="287"/>
      <c r="DR189" s="287"/>
    </row>
    <row r="190" spans="3:122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  <c r="DG190" s="287"/>
      <c r="DH190" s="287"/>
      <c r="DI190" s="287"/>
      <c r="DJ190" s="287"/>
      <c r="DK190" s="287"/>
      <c r="DL190" s="287"/>
      <c r="DM190" s="287"/>
      <c r="DN190" s="287"/>
      <c r="DO190" s="287"/>
      <c r="DP190" s="287"/>
      <c r="DQ190" s="287"/>
      <c r="DR190" s="287"/>
    </row>
    <row r="191" spans="3:122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  <c r="DG191" s="287"/>
      <c r="DH191" s="287"/>
      <c r="DI191" s="287"/>
      <c r="DJ191" s="287"/>
      <c r="DK191" s="287"/>
      <c r="DL191" s="287"/>
      <c r="DM191" s="287"/>
      <c r="DN191" s="287"/>
      <c r="DO191" s="287"/>
      <c r="DP191" s="287"/>
      <c r="DQ191" s="287"/>
      <c r="DR191" s="287"/>
    </row>
    <row r="192" spans="3:122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  <c r="DG192" s="287"/>
      <c r="DH192" s="287"/>
      <c r="DI192" s="287"/>
      <c r="DJ192" s="287"/>
      <c r="DK192" s="287"/>
      <c r="DL192" s="287"/>
      <c r="DM192" s="287"/>
      <c r="DN192" s="287"/>
      <c r="DO192" s="287"/>
      <c r="DP192" s="287"/>
      <c r="DQ192" s="287"/>
      <c r="DR192" s="287"/>
    </row>
    <row r="193" spans="3:122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</row>
    <row r="194" spans="3:122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</row>
    <row r="195" spans="3:122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  <c r="DO195" s="287"/>
      <c r="DP195" s="287"/>
      <c r="DQ195" s="287"/>
      <c r="DR195" s="287"/>
    </row>
    <row r="196" spans="3:122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  <c r="DG196" s="287"/>
      <c r="DH196" s="287"/>
      <c r="DI196" s="287"/>
      <c r="DJ196" s="287"/>
      <c r="DK196" s="287"/>
      <c r="DL196" s="287"/>
      <c r="DM196" s="287"/>
      <c r="DN196" s="287"/>
      <c r="DO196" s="287"/>
      <c r="DP196" s="287"/>
      <c r="DQ196" s="287"/>
      <c r="DR196" s="287"/>
    </row>
    <row r="197" spans="3:122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  <c r="DG197" s="287"/>
      <c r="DH197" s="287"/>
      <c r="DI197" s="287"/>
      <c r="DJ197" s="287"/>
      <c r="DK197" s="287"/>
      <c r="DL197" s="287"/>
      <c r="DM197" s="287"/>
      <c r="DN197" s="287"/>
      <c r="DO197" s="287"/>
      <c r="DP197" s="287"/>
      <c r="DQ197" s="287"/>
      <c r="DR197" s="287"/>
    </row>
    <row r="198" spans="3:122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  <c r="DG198" s="287"/>
      <c r="DH198" s="287"/>
      <c r="DI198" s="287"/>
      <c r="DJ198" s="287"/>
      <c r="DK198" s="287"/>
      <c r="DL198" s="287"/>
      <c r="DM198" s="287"/>
      <c r="DN198" s="287"/>
      <c r="DO198" s="287"/>
      <c r="DP198" s="287"/>
      <c r="DQ198" s="287"/>
      <c r="DR198" s="287"/>
    </row>
    <row r="199" spans="3:122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  <c r="DG199" s="287"/>
      <c r="DH199" s="287"/>
      <c r="DI199" s="287"/>
      <c r="DJ199" s="287"/>
      <c r="DK199" s="287"/>
      <c r="DL199" s="287"/>
      <c r="DM199" s="287"/>
      <c r="DN199" s="287"/>
      <c r="DO199" s="287"/>
      <c r="DP199" s="287"/>
      <c r="DQ199" s="287"/>
      <c r="DR199" s="287"/>
    </row>
    <row r="200" spans="3:122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  <c r="DG200" s="287"/>
      <c r="DH200" s="287"/>
      <c r="DI200" s="287"/>
      <c r="DJ200" s="287"/>
      <c r="DK200" s="287"/>
      <c r="DL200" s="287"/>
      <c r="DM200" s="287"/>
      <c r="DN200" s="287"/>
      <c r="DO200" s="287"/>
      <c r="DP200" s="287"/>
      <c r="DQ200" s="287"/>
      <c r="DR200" s="287"/>
    </row>
    <row r="201" spans="3:122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287"/>
      <c r="DM201" s="287"/>
      <c r="DN201" s="287"/>
      <c r="DO201" s="287"/>
      <c r="DP201" s="287"/>
      <c r="DQ201" s="287"/>
      <c r="DR201" s="287"/>
    </row>
    <row r="202" spans="3:122" x14ac:dyDescent="0.2">
      <c r="E202" s="134"/>
      <c r="F202" s="134"/>
      <c r="G202" s="134"/>
      <c r="H202" s="134"/>
      <c r="I202" s="134"/>
      <c r="J202" s="134"/>
      <c r="K202" s="134"/>
    </row>
    <row r="203" spans="3:122" x14ac:dyDescent="0.2">
      <c r="E203" s="134"/>
      <c r="F203" s="134"/>
      <c r="G203" s="134"/>
      <c r="H203" s="134"/>
      <c r="I203" s="134"/>
      <c r="J203" s="134"/>
      <c r="K203" s="134"/>
    </row>
    <row r="204" spans="3:122" x14ac:dyDescent="0.2">
      <c r="E204" s="134"/>
      <c r="F204" s="134"/>
      <c r="G204" s="134"/>
      <c r="H204" s="134"/>
      <c r="I204" s="134"/>
      <c r="J204" s="134"/>
      <c r="K204" s="134"/>
    </row>
    <row r="205" spans="3:122" x14ac:dyDescent="0.2">
      <c r="E205" s="134"/>
      <c r="F205" s="134"/>
      <c r="G205" s="134"/>
      <c r="H205" s="134"/>
      <c r="I205" s="134"/>
      <c r="J205" s="134"/>
      <c r="K205" s="134"/>
    </row>
    <row r="206" spans="3:122" x14ac:dyDescent="0.2">
      <c r="E206" s="134"/>
      <c r="F206" s="134"/>
      <c r="G206" s="134"/>
      <c r="H206" s="134"/>
      <c r="I206" s="134"/>
      <c r="J206" s="134"/>
      <c r="K206" s="134"/>
    </row>
    <row r="207" spans="3:122" x14ac:dyDescent="0.2">
      <c r="E207" s="134"/>
      <c r="F207" s="134"/>
      <c r="G207" s="134"/>
      <c r="H207" s="134"/>
      <c r="I207" s="134"/>
      <c r="J207" s="134"/>
      <c r="K207" s="134"/>
    </row>
    <row r="208" spans="3:122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8">
    <mergeCell ref="DL3:DP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DG3:DK3"/>
    <mergeCell ref="DB3:DF3"/>
    <mergeCell ref="CX3:DA3"/>
    <mergeCell ref="Z3:Z4"/>
    <mergeCell ref="DQ109:DR109"/>
    <mergeCell ref="DQ3:DR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  <ignoredErrors>
    <ignoredError sqref="E46:G50 AC86:AN86 AC91:AM91 AT46:AV47 DQ108:DR112 DQ92:DQ107 AV18 AP84:AV84 AC84:AO85 AF46:AS50 AC88:AN89 BP51:BQ51 Q15:BV15 BA46:BV50 DR113 DQ23 E17:CO17 DQ29 DQ33 DQ37 DQ53 DP46:DP47 DP84:DP85 DP50:DP53 DA17:DP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CX4" sqref="CX4: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2"/>
  </cols>
  <sheetData>
    <row r="2" spans="3:120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289"/>
      <c r="CZ2" s="289"/>
      <c r="DA2" s="366"/>
      <c r="DB2" s="366"/>
      <c r="DC2" s="366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289"/>
      <c r="CZ3" s="289"/>
      <c r="DA3" s="366"/>
      <c r="DB3" s="366"/>
      <c r="DC3" s="366"/>
      <c r="DD3" s="8"/>
      <c r="DE3" s="8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3:120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25" t="e">
        <f>+entero!#REF!</f>
        <v>#REF!</v>
      </c>
      <c r="CY4" s="931" t="str">
        <f>+entero!DL3</f>
        <v>Semana del 24 al 27</v>
      </c>
      <c r="CZ4" s="931"/>
      <c r="DA4" s="931"/>
      <c r="DB4" s="931"/>
      <c r="DC4" s="932"/>
      <c r="DD4" s="929" t="s">
        <v>27</v>
      </c>
      <c r="DE4" s="930"/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3:120" ht="23.25" customHeight="1" thickBot="1" x14ac:dyDescent="0.25">
      <c r="C5" s="20"/>
      <c r="D5" s="928"/>
      <c r="E5" s="927"/>
      <c r="F5" s="927"/>
      <c r="G5" s="927"/>
      <c r="H5" s="927"/>
      <c r="I5" s="927"/>
      <c r="J5" s="927"/>
      <c r="K5" s="927"/>
      <c r="L5" s="927"/>
      <c r="M5" s="927"/>
      <c r="N5" s="927"/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927"/>
      <c r="AA5" s="927"/>
      <c r="AB5" s="927"/>
      <c r="AC5" s="927"/>
      <c r="AD5" s="927"/>
      <c r="AE5" s="927"/>
      <c r="AF5" s="927"/>
      <c r="AG5" s="927"/>
      <c r="AH5" s="927"/>
      <c r="AI5" s="927"/>
      <c r="AJ5" s="927"/>
      <c r="AK5" s="927"/>
      <c r="AL5" s="927"/>
      <c r="AM5" s="927"/>
      <c r="AN5" s="927"/>
      <c r="AO5" s="927"/>
      <c r="AP5" s="927"/>
      <c r="AQ5" s="927"/>
      <c r="AR5" s="927"/>
      <c r="AS5" s="927"/>
      <c r="AT5" s="927"/>
      <c r="AU5" s="927"/>
      <c r="AV5" s="927"/>
      <c r="AW5" s="927"/>
      <c r="AX5" s="927"/>
      <c r="AY5" s="927"/>
      <c r="AZ5" s="927"/>
      <c r="BA5" s="927"/>
      <c r="BB5" s="927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  <c r="BW5" s="927"/>
      <c r="BX5" s="927"/>
      <c r="BY5" s="927"/>
      <c r="BZ5" s="927"/>
      <c r="CA5" s="927"/>
      <c r="CB5" s="927"/>
      <c r="CC5" s="927"/>
      <c r="CD5" s="927"/>
      <c r="CE5" s="927"/>
      <c r="CF5" s="927"/>
      <c r="CG5" s="927"/>
      <c r="CH5" s="927"/>
      <c r="CI5" s="927"/>
      <c r="CJ5" s="927"/>
      <c r="CK5" s="927"/>
      <c r="CL5" s="927"/>
      <c r="CM5" s="927"/>
      <c r="CN5" s="927"/>
      <c r="CO5" s="927"/>
      <c r="CP5" s="927"/>
      <c r="CQ5" s="927"/>
      <c r="CR5" s="927"/>
      <c r="CS5" s="927"/>
      <c r="CT5" s="927"/>
      <c r="CU5" s="927"/>
      <c r="CV5" s="927"/>
      <c r="CW5" s="927"/>
      <c r="CX5" s="926"/>
      <c r="CY5" s="74">
        <f>+entero!DL4</f>
        <v>42758</v>
      </c>
      <c r="CZ5" s="74">
        <f>+entero!DM4</f>
        <v>42759</v>
      </c>
      <c r="DA5" s="74">
        <f>+entero!DN4</f>
        <v>42760</v>
      </c>
      <c r="DB5" s="74">
        <f>+entero!DO4</f>
        <v>42761</v>
      </c>
      <c r="DC5" s="74">
        <f>+entero!DP4</f>
        <v>42762</v>
      </c>
      <c r="DD5" s="80" t="s">
        <v>13</v>
      </c>
      <c r="DE5" s="96" t="s">
        <v>196</v>
      </c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3:120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2"/>
      <c r="CU6" s="832"/>
      <c r="CV6" s="880"/>
      <c r="CW6" s="886"/>
      <c r="CX6" s="886"/>
      <c r="CY6" s="847"/>
      <c r="CZ6" s="847"/>
      <c r="DA6" s="847"/>
      <c r="DB6" s="847"/>
      <c r="DC6" s="848"/>
      <c r="DD6" s="873"/>
      <c r="DE6" s="874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3:120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44" t="e">
        <f>+entero!#REF!</f>
        <v>#REF!</v>
      </c>
      <c r="CY7" s="554">
        <f>+entero!DL7</f>
        <v>0</v>
      </c>
      <c r="CZ7" s="554">
        <f>+entero!DM7</f>
        <v>10010.322251780002</v>
      </c>
      <c r="DA7" s="554">
        <f>+entero!DN7</f>
        <v>9998.023360119998</v>
      </c>
      <c r="DB7" s="554">
        <f>+entero!DO7</f>
        <v>9966.2125638800007</v>
      </c>
      <c r="DC7" s="555">
        <f>+entero!DP7</f>
        <v>9926.0826758399999</v>
      </c>
      <c r="DD7" s="553" t="e">
        <f>+entero!DQ7</f>
        <v>#REF!</v>
      </c>
      <c r="DE7" s="591" t="e">
        <f>+entero!DR7</f>
        <v>#REF!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3:120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44" t="e">
        <f>+entero!#REF!</f>
        <v>#REF!</v>
      </c>
      <c r="CY8" s="554">
        <f>+entero!DL8</f>
        <v>0</v>
      </c>
      <c r="CZ8" s="554">
        <f>+entero!DM8</f>
        <v>8099.894630140001</v>
      </c>
      <c r="DA8" s="554">
        <f>+entero!DN8</f>
        <v>8093.41384096</v>
      </c>
      <c r="DB8" s="554">
        <f>+entero!DO8</f>
        <v>8052.5579343899999</v>
      </c>
      <c r="DC8" s="555">
        <f>+entero!DP8</f>
        <v>8024.6121047699999</v>
      </c>
      <c r="DD8" s="553" t="e">
        <f>+entero!DQ8</f>
        <v>#REF!</v>
      </c>
      <c r="DE8" s="591" t="e">
        <f>+entero!DR8</f>
        <v>#REF!</v>
      </c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3:120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44" t="e">
        <f>+entero!#REF!</f>
        <v>#REF!</v>
      </c>
      <c r="CY9" s="554">
        <f>+entero!DL9</f>
        <v>0</v>
      </c>
      <c r="CZ9" s="554">
        <f>+entero!DM9</f>
        <v>225.68925403</v>
      </c>
      <c r="DA9" s="554">
        <f>+entero!DN9</f>
        <v>226.67645691000001</v>
      </c>
      <c r="DB9" s="554">
        <f>+entero!DO9</f>
        <v>226.81820056999999</v>
      </c>
      <c r="DC9" s="555">
        <f>+entero!DP9</f>
        <v>226.56639713999999</v>
      </c>
      <c r="DD9" s="553" t="e">
        <f>+entero!DQ9</f>
        <v>#REF!</v>
      </c>
      <c r="DE9" s="591" t="e">
        <f>+entero!DR9</f>
        <v>#REF!</v>
      </c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3:120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44" t="e">
        <f>+entero!#REF!</f>
        <v>#REF!</v>
      </c>
      <c r="CY10" s="554">
        <f>+entero!DL10</f>
        <v>0</v>
      </c>
      <c r="CZ10" s="554">
        <f>+entero!DM10</f>
        <v>1672.7269426099999</v>
      </c>
      <c r="DA10" s="554">
        <f>+entero!DN10</f>
        <v>1665.8690972500001</v>
      </c>
      <c r="DB10" s="554">
        <f>+entero!DO10</f>
        <v>1651.4380046699998</v>
      </c>
      <c r="DC10" s="555">
        <f>+entero!DP10</f>
        <v>1639.5450474300001</v>
      </c>
      <c r="DD10" s="553" t="e">
        <f>+entero!DQ10</f>
        <v>#REF!</v>
      </c>
      <c r="DE10" s="591" t="e">
        <f>+entero!DR10</f>
        <v>#REF!</v>
      </c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3:120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44" t="e">
        <f>+entero!#REF!</f>
        <v>#REF!</v>
      </c>
      <c r="CY11" s="554">
        <f>+entero!DL11</f>
        <v>0</v>
      </c>
      <c r="CZ11" s="554">
        <f>+entero!DM11</f>
        <v>12.011424999999999</v>
      </c>
      <c r="DA11" s="554">
        <f>+entero!DN11</f>
        <v>12.063965</v>
      </c>
      <c r="DB11" s="554">
        <f>+entero!DO11</f>
        <v>35.398424249999998</v>
      </c>
      <c r="DC11" s="555">
        <f>+entero!DP11</f>
        <v>35.359126499999995</v>
      </c>
      <c r="DD11" s="553" t="e">
        <f>+entero!DQ11</f>
        <v>#REF!</v>
      </c>
      <c r="DE11" s="591" t="e">
        <f>+entero!DR11</f>
        <v>#REF!</v>
      </c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3:120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44" t="e">
        <f>+entero!#REF!</f>
        <v>#REF!</v>
      </c>
      <c r="CY12" s="554">
        <f>+entero!DL12</f>
        <v>0</v>
      </c>
      <c r="CZ12" s="554">
        <f>+entero!DM12</f>
        <v>10010.320594370001</v>
      </c>
      <c r="DA12" s="554">
        <f>+entero!DN12</f>
        <v>9998.0209161499988</v>
      </c>
      <c r="DB12" s="554">
        <f>+entero!DO12</f>
        <v>9966.2101199099998</v>
      </c>
      <c r="DC12" s="555">
        <f>+entero!DP12</f>
        <v>9926.0802318699989</v>
      </c>
      <c r="DD12" s="553" t="e">
        <f>+entero!DQ12</f>
        <v>#REF!</v>
      </c>
      <c r="DE12" s="591" t="e">
        <f>+entero!DR12</f>
        <v>#REF!</v>
      </c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3:120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44" t="e">
        <f>+entero!#REF!</f>
        <v>#REF!</v>
      </c>
      <c r="CY13" s="554">
        <f>+entero!DL13</f>
        <v>0</v>
      </c>
      <c r="CZ13" s="554">
        <f>+entero!DM13</f>
        <v>2527.7390057390662</v>
      </c>
      <c r="DA13" s="554">
        <f>+entero!DN13</f>
        <v>2512.2408421603491</v>
      </c>
      <c r="DB13" s="554">
        <f>+entero!DO13</f>
        <v>2570.4074464081632</v>
      </c>
      <c r="DC13" s="555">
        <f>+entero!DP13</f>
        <v>2559.5259718206989</v>
      </c>
      <c r="DD13" s="553" t="e">
        <f>+entero!DQ13</f>
        <v>#REF!</v>
      </c>
      <c r="DE13" s="591" t="e">
        <f>+entero!DR13</f>
        <v>#REF!</v>
      </c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3:120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44" t="e">
        <f>+entero!#REF!</f>
        <v>#REF!</v>
      </c>
      <c r="CY14" s="554">
        <f>+entero!DL14</f>
        <v>0</v>
      </c>
      <c r="CZ14" s="554">
        <f>+entero!DM14</f>
        <v>1827.6479495799997</v>
      </c>
      <c r="DA14" s="554">
        <f>+entero!DN14</f>
        <v>1830.0506856599998</v>
      </c>
      <c r="DB14" s="554">
        <f>+entero!DO14</f>
        <v>1830.0755012400002</v>
      </c>
      <c r="DC14" s="555">
        <f>+entero!DP14</f>
        <v>1830.1587062499993</v>
      </c>
      <c r="DD14" s="553" t="e">
        <f>+entero!DQ14</f>
        <v>#REF!</v>
      </c>
      <c r="DE14" s="591" t="e">
        <f>+entero!DR14</f>
        <v>#REF!</v>
      </c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3:120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44" t="e">
        <f>+entero!#REF!</f>
        <v>#REF!</v>
      </c>
      <c r="CY15" s="554">
        <f>+entero!DL15</f>
        <v>0</v>
      </c>
      <c r="CZ15" s="554">
        <f>+entero!DM15</f>
        <v>707.07566000884992</v>
      </c>
      <c r="DA15" s="554">
        <f>+entero!DN15</f>
        <v>707.09868219580005</v>
      </c>
      <c r="DB15" s="554">
        <f>+entero!DO15</f>
        <v>707.12169605929989</v>
      </c>
      <c r="DC15" s="555">
        <f>+entero!DP15</f>
        <v>707.14471212939998</v>
      </c>
      <c r="DD15" s="553" t="e">
        <f>+entero!DQ15</f>
        <v>#REF!</v>
      </c>
      <c r="DE15" s="591" t="e">
        <f>+entero!DR15</f>
        <v>#REF!</v>
      </c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3:120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44" t="e">
        <f>+entero!#REF!</f>
        <v>#REF!</v>
      </c>
      <c r="CY16" s="554">
        <f>+entero!DL16</f>
        <v>0</v>
      </c>
      <c r="CZ16" s="554">
        <f>+entero!DM16</f>
        <v>672.28525459759999</v>
      </c>
      <c r="DA16" s="554">
        <f>+entero!DN16</f>
        <v>672.30763315280012</v>
      </c>
      <c r="DB16" s="554">
        <f>+entero!DO16</f>
        <v>672.32968301319988</v>
      </c>
      <c r="DC16" s="555">
        <f>+entero!DP16</f>
        <v>672.35149635319999</v>
      </c>
      <c r="DD16" s="553" t="e">
        <f>+entero!DQ16</f>
        <v>#REF!</v>
      </c>
      <c r="DE16" s="591" t="e">
        <f>+entero!DR16</f>
        <v>#REF!</v>
      </c>
      <c r="DF16" s="20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2:120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44" t="e">
        <f>+entero!#REF!</f>
        <v>#REF!</v>
      </c>
      <c r="CY17" s="554">
        <f>+entero!DL17</f>
        <v>0</v>
      </c>
      <c r="CZ17" s="554">
        <f>+entero!DM17</f>
        <v>13917.420514715517</v>
      </c>
      <c r="DA17" s="554">
        <f>+entero!DN17</f>
        <v>13889.668073658948</v>
      </c>
      <c r="DB17" s="554">
        <f>+entero!DO17</f>
        <v>13916.068945390663</v>
      </c>
      <c r="DC17" s="555">
        <f>+entero!DP17</f>
        <v>13865.102412173299</v>
      </c>
      <c r="DD17" s="553" t="e">
        <f>+entero!DQ17</f>
        <v>#REF!</v>
      </c>
      <c r="DE17" s="591" t="e">
        <f>+entero!DR17</f>
        <v>#REF!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2:120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44" t="e">
        <f>+entero!#REF!</f>
        <v>#REF!</v>
      </c>
      <c r="CY18" s="554">
        <f>+entero!DL18</f>
        <v>0</v>
      </c>
      <c r="CZ18" s="554">
        <f>+entero!DM18</f>
        <v>0</v>
      </c>
      <c r="DA18" s="554">
        <f>+entero!DN18</f>
        <v>0</v>
      </c>
      <c r="DB18" s="554">
        <f>+entero!DO18</f>
        <v>0</v>
      </c>
      <c r="DC18" s="555">
        <f>+entero!DP18</f>
        <v>0</v>
      </c>
      <c r="DD18" s="871"/>
      <c r="DE18" s="62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2:120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44" t="e">
        <f>+entero!#REF!</f>
        <v>#REF!</v>
      </c>
      <c r="CY19" s="554">
        <f>+entero!DL19</f>
        <v>0</v>
      </c>
      <c r="CZ19" s="554">
        <f>+entero!DM19</f>
        <v>0</v>
      </c>
      <c r="DA19" s="554">
        <f>+entero!DN19</f>
        <v>0</v>
      </c>
      <c r="DB19" s="554">
        <f>+entero!DO19</f>
        <v>0</v>
      </c>
      <c r="DC19" s="555">
        <f>+entero!DP19</f>
        <v>0</v>
      </c>
      <c r="DD19" s="871"/>
      <c r="DE19" s="626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2:120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44" t="e">
        <f>+entero!#REF!</f>
        <v>#REF!</v>
      </c>
      <c r="CY20" s="554">
        <f>+entero!DL20</f>
        <v>0</v>
      </c>
      <c r="CZ20" s="554">
        <f>+entero!DM20</f>
        <v>0</v>
      </c>
      <c r="DA20" s="554">
        <f>+entero!DN20</f>
        <v>0</v>
      </c>
      <c r="DB20" s="554">
        <f>+entero!DO20</f>
        <v>0</v>
      </c>
      <c r="DC20" s="555">
        <f>+entero!DP20</f>
        <v>0</v>
      </c>
      <c r="DD20" s="871"/>
      <c r="DE20" s="626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2:120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44" t="e">
        <f>+entero!#REF!</f>
        <v>#REF!</v>
      </c>
      <c r="CY21" s="554">
        <f>+entero!DL21</f>
        <v>0</v>
      </c>
      <c r="CZ21" s="554">
        <f>+entero!DM21</f>
        <v>0</v>
      </c>
      <c r="DA21" s="554">
        <f>+entero!DN21</f>
        <v>0</v>
      </c>
      <c r="DB21" s="554">
        <f>+entero!DO21</f>
        <v>0</v>
      </c>
      <c r="DC21" s="555">
        <f>+entero!DP21</f>
        <v>0</v>
      </c>
      <c r="DD21" s="871"/>
      <c r="DE21" s="626"/>
      <c r="DG21" s="205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2:120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44" t="e">
        <f>+entero!#REF!</f>
        <v>#REF!</v>
      </c>
      <c r="CY22" s="554">
        <f>+entero!DL22</f>
        <v>0</v>
      </c>
      <c r="CZ22" s="554">
        <f>+entero!DM22</f>
        <v>7.2</v>
      </c>
      <c r="DA22" s="554">
        <f>+entero!DN22</f>
        <v>5</v>
      </c>
      <c r="DB22" s="554">
        <f>+entero!DO22</f>
        <v>5</v>
      </c>
      <c r="DC22" s="555">
        <f>+entero!DP22</f>
        <v>7</v>
      </c>
      <c r="DD22" s="871"/>
      <c r="DE22" s="626"/>
      <c r="DG22" s="205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2:120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0"/>
      <c r="CY23" s="850"/>
      <c r="CZ23" s="850"/>
      <c r="DA23" s="850"/>
      <c r="DB23" s="850"/>
      <c r="DC23" s="849"/>
      <c r="DD23" s="872"/>
      <c r="DE23" s="875"/>
      <c r="DG23" s="205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2:12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42769.764755671298</v>
      </c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2:12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2:12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2:12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2:120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2:12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2:120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2:120" ht="12" customHeight="1" x14ac:dyDescent="0.25">
      <c r="C32" s="6">
        <v>4</v>
      </c>
      <c r="D32" s="382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>
        <v>0</v>
      </c>
      <c r="CZ82" s="200">
        <v>0</v>
      </c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>
        <v>8605.6139999994666</v>
      </c>
      <c r="CZ84" s="200">
        <v>8605.6139999994666</v>
      </c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CY4:DC4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CX4:CX5"/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CQ4:CQ5"/>
    <mergeCell ref="BA4:BA5"/>
    <mergeCell ref="AX4:AX5"/>
    <mergeCell ref="BH4:BH5"/>
    <mergeCell ref="BF4:BF5"/>
    <mergeCell ref="BG4:BG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6.2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7"/>
      <c r="CZ5" s="37"/>
      <c r="DA5" s="37"/>
      <c r="DB5" s="37"/>
      <c r="DC5" s="320"/>
      <c r="DD5" s="70"/>
      <c r="DE5" s="38"/>
      <c r="DF5" s="206"/>
      <c r="DG5" s="207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906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552" t="e">
        <f>+entero!#REF!</f>
        <v>#REF!</v>
      </c>
      <c r="CY6" s="852">
        <f>+entero!DL24</f>
        <v>0</v>
      </c>
      <c r="CZ6" s="852">
        <f>+entero!DM24</f>
        <v>60156.817970721357</v>
      </c>
      <c r="DA6" s="852">
        <f>+entero!DN24</f>
        <v>59879.384587208035</v>
      </c>
      <c r="DB6" s="852">
        <f>+entero!DO24</f>
        <v>60329.357324533514</v>
      </c>
      <c r="DC6" s="853">
        <f>+entero!DP24</f>
        <v>59553.694279292584</v>
      </c>
      <c r="DD6" s="851" t="e">
        <f>+entero!DQ24</f>
        <v>#REF!</v>
      </c>
      <c r="DE6" s="876" t="e">
        <f>+entero!DR24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906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552" t="e">
        <f>+entero!#REF!</f>
        <v>#REF!</v>
      </c>
      <c r="CY7" s="852">
        <f>+entero!DL25</f>
        <v>0</v>
      </c>
      <c r="CZ7" s="852">
        <f>+entero!DM25</f>
        <v>42797.0556077</v>
      </c>
      <c r="DA7" s="852">
        <f>+entero!DN25</f>
        <v>42699.403890900001</v>
      </c>
      <c r="DB7" s="852">
        <f>+entero!DO25</f>
        <v>42581.595542300005</v>
      </c>
      <c r="DC7" s="853">
        <f>+entero!DP25</f>
        <v>42447.328319599997</v>
      </c>
      <c r="DD7" s="851" t="e">
        <f>+entero!DQ25</f>
        <v>#REF!</v>
      </c>
      <c r="DE7" s="876" t="e">
        <f>+entero!DR25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x14ac:dyDescent="0.2">
      <c r="A8" s="3"/>
      <c r="B8" s="906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552" t="e">
        <f>+entero!#REF!</f>
        <v>#REF!</v>
      </c>
      <c r="CY8" s="852">
        <f>+entero!DL26</f>
        <v>0</v>
      </c>
      <c r="CZ8" s="852">
        <f>+entero!DM26</f>
        <v>-25873.743669292493</v>
      </c>
      <c r="DA8" s="852">
        <f>+entero!DN26</f>
        <v>-25887.019593567045</v>
      </c>
      <c r="DB8" s="852">
        <f>+entero!DO26</f>
        <v>-25786.605880008454</v>
      </c>
      <c r="DC8" s="853">
        <f>+entero!DP26</f>
        <v>-25645.582070873475</v>
      </c>
      <c r="DD8" s="851" t="e">
        <f>+entero!DQ26</f>
        <v>#REF!</v>
      </c>
      <c r="DE8" s="876" t="e">
        <f>+entero!DR26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x14ac:dyDescent="0.2">
      <c r="A9" s="3"/>
      <c r="B9" s="906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552" t="e">
        <f>+entero!#REF!</f>
        <v>#REF!</v>
      </c>
      <c r="CY9" s="852">
        <f>+entero!DL27</f>
        <v>0</v>
      </c>
      <c r="CZ9" s="852">
        <f>+entero!DM27</f>
        <v>-5926.4643700068618</v>
      </c>
      <c r="DA9" s="852">
        <f>+entero!DN27</f>
        <v>-6183.8832891986622</v>
      </c>
      <c r="DB9" s="852">
        <f>+entero!DO27</f>
        <v>-5624.8435617602718</v>
      </c>
      <c r="DC9" s="853">
        <f>+entero!DP27</f>
        <v>-6046.3594378068847</v>
      </c>
      <c r="DD9" s="851" t="e">
        <f>+entero!DQ27</f>
        <v>#REF!</v>
      </c>
      <c r="DE9" s="876" t="e">
        <f>+entero!DR27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906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552" t="e">
        <f>+entero!#REF!</f>
        <v>#REF!</v>
      </c>
      <c r="CY10" s="852">
        <f>+entero!DL28</f>
        <v>0</v>
      </c>
      <c r="CZ10" s="852">
        <f>+entero!DM28</f>
        <v>5509.6187725930004</v>
      </c>
      <c r="DA10" s="852">
        <f>+entero!DN28</f>
        <v>5509.6409163300004</v>
      </c>
      <c r="DB10" s="852">
        <f>+entero!DO28</f>
        <v>5509.6480134116</v>
      </c>
      <c r="DC10" s="853">
        <f>+entero!DP28</f>
        <v>5509.6171481450001</v>
      </c>
      <c r="DD10" s="851" t="e">
        <f>+entero!DQ28</f>
        <v>#REF!</v>
      </c>
      <c r="DE10" s="876" t="e">
        <f>+entero!DR28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906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556"/>
      <c r="CY11" s="855"/>
      <c r="CZ11" s="855"/>
      <c r="DA11" s="855"/>
      <c r="DB11" s="855"/>
      <c r="DC11" s="856"/>
      <c r="DD11" s="854"/>
      <c r="DE11" s="877"/>
      <c r="DF11" s="206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906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70101.84715709</v>
      </c>
      <c r="CX12" s="552" t="e">
        <f>+entero!#REF!</f>
        <v>#REF!</v>
      </c>
      <c r="CY12" s="852">
        <f>+entero!DL30</f>
        <v>0</v>
      </c>
      <c r="CZ12" s="852">
        <f>+entero!DM30</f>
        <v>68716.481579584099</v>
      </c>
      <c r="DA12" s="852">
        <f>+entero!DN30</f>
        <v>68318.456092564113</v>
      </c>
      <c r="DB12" s="852">
        <f>+entero!DO30</f>
        <v>69049.411505874115</v>
      </c>
      <c r="DC12" s="853">
        <f>+entero!DP30</f>
        <v>68730.866884074101</v>
      </c>
      <c r="DD12" s="851" t="e">
        <f>+entero!DQ30</f>
        <v>#REF!</v>
      </c>
      <c r="DE12" s="876" t="e">
        <f>+entero!DR30</f>
        <v>#REF!</v>
      </c>
      <c r="DF12" s="206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906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121646.83928334</v>
      </c>
      <c r="CX13" s="552" t="e">
        <f>+entero!#REF!</f>
        <v>#REF!</v>
      </c>
      <c r="CY13" s="852">
        <f>+entero!DL31</f>
        <v>0</v>
      </c>
      <c r="CZ13" s="852">
        <f>+entero!DM31</f>
        <v>118417.32616894538</v>
      </c>
      <c r="DA13" s="852">
        <f>+entero!DN31</f>
        <v>117981.48415126538</v>
      </c>
      <c r="DB13" s="852">
        <f>+entero!DO31</f>
        <v>118552.65534510538</v>
      </c>
      <c r="DC13" s="853">
        <f>+entero!DP31</f>
        <v>118130.00009325537</v>
      </c>
      <c r="DD13" s="851" t="e">
        <f>+entero!DQ31</f>
        <v>#REF!</v>
      </c>
      <c r="DE13" s="876" t="e">
        <f>+entero!DR31</f>
        <v>#REF!</v>
      </c>
      <c r="DF13" s="206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906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191109.37357667001</v>
      </c>
      <c r="CX14" s="552" t="e">
        <f>+entero!#REF!</f>
        <v>#REF!</v>
      </c>
      <c r="CY14" s="852">
        <f>+entero!DL32</f>
        <v>0</v>
      </c>
      <c r="CZ14" s="852">
        <f>+entero!DM32</f>
        <v>187775.90745395294</v>
      </c>
      <c r="DA14" s="852">
        <f>+entero!DN32</f>
        <v>187527.76822173293</v>
      </c>
      <c r="DB14" s="852">
        <f>+entero!DO32</f>
        <v>188176.40087271295</v>
      </c>
      <c r="DC14" s="853">
        <f>+entero!DP32</f>
        <v>187889.44374805293</v>
      </c>
      <c r="DD14" s="851" t="e">
        <f>+entero!DQ32</f>
        <v>#REF!</v>
      </c>
      <c r="DE14" s="876" t="e">
        <f>+entero!DR32</f>
        <v>#REF!</v>
      </c>
      <c r="DF14" s="206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906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858"/>
      <c r="CZ15" s="858"/>
      <c r="DA15" s="858"/>
      <c r="DB15" s="858"/>
      <c r="DC15" s="859"/>
      <c r="DD15" s="857"/>
      <c r="DE15" s="859"/>
      <c r="DF15" s="206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906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89.60211252585691</v>
      </c>
      <c r="CX16" s="557" t="e">
        <f>+entero!#REF!</f>
        <v>#REF!</v>
      </c>
      <c r="CY16" s="861">
        <f>+entero!DL34</f>
        <v>0</v>
      </c>
      <c r="CZ16" s="861">
        <f>+entero!DM34</f>
        <v>89.085169458939973</v>
      </c>
      <c r="DA16" s="861">
        <f>+entero!DN34</f>
        <v>89.071506356577359</v>
      </c>
      <c r="DB16" s="861">
        <f>+entero!DO34</f>
        <v>88.991080231909464</v>
      </c>
      <c r="DC16" s="862">
        <f>+entero!DP34</f>
        <v>88.95023739927521</v>
      </c>
      <c r="DD16" s="860" t="e">
        <f>+entero!DQ34</f>
        <v>#REF!</v>
      </c>
      <c r="DE16" s="862" t="e">
        <f>+entero!DR34</f>
        <v>#REF!</v>
      </c>
      <c r="DF16" s="206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906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84.364190442443402</v>
      </c>
      <c r="CX17" s="557" t="e">
        <f>+entero!#REF!</f>
        <v>#REF!</v>
      </c>
      <c r="CY17" s="861">
        <f>+entero!DL35</f>
        <v>0</v>
      </c>
      <c r="CZ17" s="861">
        <f>+entero!DM35</f>
        <v>83.760043301774047</v>
      </c>
      <c r="DA17" s="861">
        <f>+entero!DN35</f>
        <v>83.705649097526162</v>
      </c>
      <c r="DB17" s="861">
        <f>+entero!DO35</f>
        <v>83.748299552398677</v>
      </c>
      <c r="DC17" s="862">
        <f>+entero!DP35</f>
        <v>83.693396925686159</v>
      </c>
      <c r="DD17" s="860" t="e">
        <f>+entero!DQ35</f>
        <v>#REF!</v>
      </c>
      <c r="DE17" s="862" t="e">
        <f>+entero!DR35</f>
        <v>#REF!</v>
      </c>
      <c r="DF17" s="206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thickBot="1" x14ac:dyDescent="0.25">
      <c r="A18" s="3"/>
      <c r="B18" s="906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87.546028989890686</v>
      </c>
      <c r="CX18" s="559" t="e">
        <f>+entero!#REF!</f>
        <v>#REF!</v>
      </c>
      <c r="CY18" s="864">
        <f>+entero!DL36</f>
        <v>0</v>
      </c>
      <c r="CZ18" s="864">
        <f>+entero!DM36</f>
        <v>87.246800227625329</v>
      </c>
      <c r="DA18" s="864">
        <f>+entero!DN36</f>
        <v>87.229010101680259</v>
      </c>
      <c r="DB18" s="864">
        <f>+entero!DO36</f>
        <v>87.248337262293987</v>
      </c>
      <c r="DC18" s="865">
        <f>+entero!DP36</f>
        <v>87.22428587153621</v>
      </c>
      <c r="DD18" s="863" t="e">
        <f>+entero!DQ36</f>
        <v>#REF!</v>
      </c>
      <c r="DE18" s="865" t="e">
        <f>+entero!DR36</f>
        <v>#REF!</v>
      </c>
      <c r="DF18" s="20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D25" s="4"/>
      <c r="DE25" s="4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4"/>
      <c r="CZ26" s="4"/>
      <c r="DA26" s="4"/>
      <c r="DB26" s="4"/>
      <c r="DC26" s="4"/>
      <c r="DD26" s="4"/>
      <c r="DE26" s="4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4"/>
      <c r="CZ27" s="4"/>
      <c r="DA27" s="4"/>
      <c r="DB27" s="4"/>
      <c r="DC27" s="4"/>
      <c r="DD27" s="4"/>
      <c r="DE27" s="4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4"/>
      <c r="CZ28" s="4"/>
      <c r="DA28" s="4"/>
      <c r="DB28" s="4"/>
      <c r="DC28" s="4"/>
      <c r="DD28" s="4"/>
      <c r="DE28" s="4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4"/>
      <c r="CZ29" s="4"/>
      <c r="DA29" s="4"/>
      <c r="DB29" s="4"/>
      <c r="DC29" s="4"/>
      <c r="DD29" s="4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4"/>
      <c r="CZ30" s="4"/>
      <c r="DA30" s="4"/>
      <c r="DB30" s="4"/>
      <c r="DC30" s="4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4"/>
      <c r="CZ31" s="4"/>
      <c r="DA31" s="4"/>
      <c r="DB31" s="4"/>
      <c r="DC31" s="4"/>
      <c r="DD31" s="5"/>
      <c r="DE31" s="5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8.7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18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3"/>
      <c r="CZ5" s="33"/>
      <c r="DA5" s="33"/>
      <c r="DB5" s="33"/>
      <c r="DC5" s="310"/>
      <c r="DD5" s="81"/>
      <c r="DE5" s="52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0" t="e">
        <f>+entero!#REF!</f>
        <v>#REF!</v>
      </c>
      <c r="CY6" s="562">
        <f>+entero!DL38</f>
        <v>0</v>
      </c>
      <c r="CZ6" s="562">
        <f>+entero!DM38</f>
        <v>2930.7122071472295</v>
      </c>
      <c r="DA6" s="562">
        <f>+entero!DN38</f>
        <v>2930.7122071472295</v>
      </c>
      <c r="DB6" s="562">
        <f>+entero!DO38</f>
        <v>2930.7122071472295</v>
      </c>
      <c r="DC6" s="563">
        <f>+entero!DP38</f>
        <v>2967.6611867390661</v>
      </c>
      <c r="DD6" s="561" t="e">
        <f>+entero!DQ38</f>
        <v>#REF!</v>
      </c>
      <c r="DE6" s="590" t="e">
        <f>+entero!DR38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44" t="e">
        <f>+entero!#REF!</f>
        <v>#REF!</v>
      </c>
      <c r="CY7" s="554">
        <f>+entero!DL39</f>
        <v>0</v>
      </c>
      <c r="CZ7" s="554">
        <f>+entero!DM39</f>
        <v>1840.4740000000002</v>
      </c>
      <c r="DA7" s="554">
        <f>+entero!DN39</f>
        <v>1840.4740000000002</v>
      </c>
      <c r="DB7" s="554">
        <f>+entero!DO39</f>
        <v>1840.4740000000002</v>
      </c>
      <c r="DC7" s="555">
        <f>+entero!DP39</f>
        <v>1847.7626297376096</v>
      </c>
      <c r="DD7" s="553" t="e">
        <f>+entero!DQ39</f>
        <v>#REF!</v>
      </c>
      <c r="DE7" s="591" t="e">
        <f>+entero!DR39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44" t="e">
        <f>+entero!#REF!</f>
        <v>#REF!</v>
      </c>
      <c r="CY8" s="554">
        <f>+entero!DL40</f>
        <v>0</v>
      </c>
      <c r="CZ8" s="554">
        <f>+entero!DM40</f>
        <v>12625.651640000002</v>
      </c>
      <c r="DA8" s="554">
        <f>+entero!DN40</f>
        <v>12625.651640000002</v>
      </c>
      <c r="DB8" s="554">
        <f>+entero!DO40</f>
        <v>12625.651640000002</v>
      </c>
      <c r="DC8" s="555">
        <f>+entero!DP40</f>
        <v>12675.651640000002</v>
      </c>
      <c r="DD8" s="553" t="e">
        <f>+entero!DQ40</f>
        <v>#REF!</v>
      </c>
      <c r="DE8" s="591" t="e">
        <f>+entero!DR40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44" t="e">
        <f>+entero!#REF!</f>
        <v>#REF!</v>
      </c>
      <c r="CY9" s="554">
        <f>+entero!DL41</f>
        <v>0</v>
      </c>
      <c r="CZ9" s="554">
        <f>+entero!DM41</f>
        <v>0</v>
      </c>
      <c r="DA9" s="554">
        <f>+entero!DN41</f>
        <v>0</v>
      </c>
      <c r="DB9" s="554">
        <f>+entero!DO41</f>
        <v>0</v>
      </c>
      <c r="DC9" s="555">
        <f>+entero!DP41</f>
        <v>0</v>
      </c>
      <c r="DD9" s="553" t="e">
        <f>+entero!DQ41</f>
        <v>#REF!</v>
      </c>
      <c r="DE9" s="591">
        <f>+entero!DR41</f>
        <v>0</v>
      </c>
      <c r="DF9" s="3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44" t="e">
        <f>+entero!#REF!</f>
        <v>#REF!</v>
      </c>
      <c r="CY10" s="554">
        <f>+entero!DL42</f>
        <v>0</v>
      </c>
      <c r="CZ10" s="554">
        <f>+entero!DM42</f>
        <v>1090.2382071472293</v>
      </c>
      <c r="DA10" s="554">
        <f>+entero!DN42</f>
        <v>1090.2382071472293</v>
      </c>
      <c r="DB10" s="554">
        <f>+entero!DO42</f>
        <v>1090.2382071472293</v>
      </c>
      <c r="DC10" s="555">
        <f>+entero!DP42</f>
        <v>1119.8985570014565</v>
      </c>
      <c r="DD10" s="553" t="e">
        <f>+entero!DQ42</f>
        <v>#REF!</v>
      </c>
      <c r="DE10" s="591" t="e">
        <f>+entero!DR42</f>
        <v>#REF!</v>
      </c>
      <c r="DF10" s="3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44" t="e">
        <f>+entero!#REF!</f>
        <v>#REF!</v>
      </c>
      <c r="CY11" s="554">
        <f>+entero!DL43</f>
        <v>0</v>
      </c>
      <c r="CZ11" s="554">
        <f>+entero!DM43</f>
        <v>7479.0341010299935</v>
      </c>
      <c r="DA11" s="554">
        <f>+entero!DN43</f>
        <v>7479.0341010299935</v>
      </c>
      <c r="DB11" s="554">
        <f>+entero!DO43</f>
        <v>7479.0341010299935</v>
      </c>
      <c r="DC11" s="555">
        <f>+entero!DP43</f>
        <v>7682.5041010299929</v>
      </c>
      <c r="DD11" s="553" t="e">
        <f>+entero!DQ43</f>
        <v>#REF!</v>
      </c>
      <c r="DE11" s="591" t="e">
        <f>+entero!DR43</f>
        <v>#REF!</v>
      </c>
      <c r="DF11" s="3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44" t="e">
        <f>+entero!#REF!</f>
        <v>#REF!</v>
      </c>
      <c r="CY12" s="554">
        <f>+entero!DL45</f>
        <v>0</v>
      </c>
      <c r="CZ12" s="554">
        <f>+entero!DM45</f>
        <v>0</v>
      </c>
      <c r="DA12" s="554">
        <f>+entero!DN45</f>
        <v>0</v>
      </c>
      <c r="DB12" s="554">
        <f>+entero!DO45</f>
        <v>0</v>
      </c>
      <c r="DC12" s="555">
        <f>+entero!DP45</f>
        <v>0</v>
      </c>
      <c r="DD12" s="553">
        <f>+entero!DQ45</f>
        <v>0</v>
      </c>
      <c r="DE12" s="626">
        <f>+entero!DR45</f>
        <v>0</v>
      </c>
      <c r="DF12" s="3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 t="e">
        <f>+entero!#REF!</f>
        <v>#REF!</v>
      </c>
      <c r="CY13" s="9">
        <f>+entero!DL46</f>
        <v>0</v>
      </c>
      <c r="CZ13" s="9">
        <f>+entero!DM46</f>
        <v>0</v>
      </c>
      <c r="DA13" s="9">
        <f>+entero!DN46</f>
        <v>0</v>
      </c>
      <c r="DB13" s="9">
        <f>+entero!DO46</f>
        <v>0</v>
      </c>
      <c r="DC13" s="318">
        <f>+entero!DP46</f>
        <v>0</v>
      </c>
      <c r="DD13" s="12" t="e">
        <f>+entero!DQ46</f>
        <v>#REF!</v>
      </c>
      <c r="DE13" s="626" t="e">
        <f>+entero!DR46</f>
        <v>#REF!</v>
      </c>
      <c r="DF13" s="3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 t="e">
        <f>+entero!#REF!</f>
        <v>#REF!</v>
      </c>
      <c r="CY14" s="9">
        <f>+entero!DL47</f>
        <v>0</v>
      </c>
      <c r="CZ14" s="9">
        <f>+entero!DM47</f>
        <v>0</v>
      </c>
      <c r="DA14" s="9">
        <f>+entero!DN47</f>
        <v>0</v>
      </c>
      <c r="DB14" s="9">
        <f>+entero!DO47</f>
        <v>0</v>
      </c>
      <c r="DC14" s="318">
        <f>+entero!DP47</f>
        <v>0</v>
      </c>
      <c r="DD14" s="12" t="e">
        <f>+entero!DQ47</f>
        <v>#REF!</v>
      </c>
      <c r="DE14" s="626" t="e">
        <f>+entero!DR47</f>
        <v>#REF!</v>
      </c>
      <c r="DF14" s="3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 t="e">
        <f>+entero!#REF!</f>
        <v>#REF!</v>
      </c>
      <c r="CY15" s="9">
        <f>+entero!DL48</f>
        <v>0</v>
      </c>
      <c r="CZ15" s="9">
        <f>+entero!DM48</f>
        <v>0</v>
      </c>
      <c r="DA15" s="9">
        <f>+entero!DN48</f>
        <v>0</v>
      </c>
      <c r="DB15" s="9">
        <f>+entero!DO48</f>
        <v>0</v>
      </c>
      <c r="DC15" s="318">
        <f>+entero!DP48</f>
        <v>0</v>
      </c>
      <c r="DD15" s="12" t="e">
        <f>+entero!DQ48</f>
        <v>#REF!</v>
      </c>
      <c r="DE15" s="626">
        <f>+entero!DR48</f>
        <v>0</v>
      </c>
      <c r="DF15" s="3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 t="e">
        <f>+entero!#REF!</f>
        <v>#REF!</v>
      </c>
      <c r="CY16" s="9">
        <f>+entero!DL49</f>
        <v>0</v>
      </c>
      <c r="CZ16" s="9">
        <f>+entero!DM49</f>
        <v>0</v>
      </c>
      <c r="DA16" s="9">
        <f>+entero!DN49</f>
        <v>0</v>
      </c>
      <c r="DB16" s="9">
        <f>+entero!DO49</f>
        <v>0</v>
      </c>
      <c r="DC16" s="318">
        <f>+entero!DP49</f>
        <v>0</v>
      </c>
      <c r="DD16" s="12" t="e">
        <f>+entero!DQ49</f>
        <v>#REF!</v>
      </c>
      <c r="DE16" s="626" t="e">
        <f>+entero!DR49</f>
        <v>#REF!</v>
      </c>
      <c r="DF16" s="3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 t="e">
        <f>+entero!#REF!</f>
        <v>#REF!</v>
      </c>
      <c r="CY17" s="9">
        <f>+entero!DL50</f>
        <v>0</v>
      </c>
      <c r="CZ17" s="9">
        <f>+entero!DM50</f>
        <v>0</v>
      </c>
      <c r="DA17" s="9">
        <f>+entero!DN50</f>
        <v>0</v>
      </c>
      <c r="DB17" s="9">
        <f>+entero!DO50</f>
        <v>0</v>
      </c>
      <c r="DC17" s="318">
        <f>+entero!DP50</f>
        <v>0</v>
      </c>
      <c r="DD17" s="12" t="e">
        <f>+entero!DQ50</f>
        <v>#REF!</v>
      </c>
      <c r="DE17" s="626" t="e">
        <f>+entero!DR50</f>
        <v>#REF!</v>
      </c>
      <c r="DF17" s="3" t="s">
        <v>3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 t="e">
        <f>+entero!#REF!</f>
        <v>#REF!</v>
      </c>
      <c r="CY18" s="9">
        <f>+entero!DL51</f>
        <v>0</v>
      </c>
      <c r="CZ18" s="9">
        <f>+entero!DM51</f>
        <v>0</v>
      </c>
      <c r="DA18" s="9">
        <f>+entero!DN51</f>
        <v>0</v>
      </c>
      <c r="DB18" s="9">
        <f>+entero!DO51</f>
        <v>0</v>
      </c>
      <c r="DC18" s="318">
        <f>+entero!DP51</f>
        <v>0</v>
      </c>
      <c r="DD18" s="12" t="e">
        <f>+entero!DQ51</f>
        <v>#REF!</v>
      </c>
      <c r="DE18" s="626" t="e">
        <f>+entero!DR51</f>
        <v>#REF!</v>
      </c>
      <c r="DF18" s="3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 t="e">
        <f>+entero!#REF!</f>
        <v>#REF!</v>
      </c>
      <c r="CY19" s="866">
        <f>+entero!DL52</f>
        <v>0</v>
      </c>
      <c r="CZ19" s="866">
        <f>+entero!DM52</f>
        <v>0</v>
      </c>
      <c r="DA19" s="866">
        <f>+entero!DN52</f>
        <v>0</v>
      </c>
      <c r="DB19" s="866">
        <f>+entero!DO52</f>
        <v>0</v>
      </c>
      <c r="DC19" s="319">
        <f>+entero!DP52</f>
        <v>0</v>
      </c>
      <c r="DD19" s="30" t="e">
        <f>+entero!DQ52</f>
        <v>#REF!</v>
      </c>
      <c r="DE19" s="627" t="e">
        <f>+entero!DR52</f>
        <v>#REF!</v>
      </c>
      <c r="DF19" s="3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2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2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1:12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1:12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1:12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1:12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DD3:DE3"/>
    <mergeCell ref="CY3:DC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2" width="10.140625" customWidth="1"/>
    <col min="103" max="107" width="9.5703125" customWidth="1"/>
    <col min="108" max="108" width="9" customWidth="1"/>
    <col min="109" max="109" width="10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51"/>
      <c r="CZ5" s="51"/>
      <c r="DA5" s="51"/>
      <c r="DB5" s="51"/>
      <c r="DC5" s="315"/>
      <c r="DD5" s="81"/>
      <c r="DE5" s="52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23763.312968020411</v>
      </c>
      <c r="CX6" s="451" t="e">
        <f>+entero!#REF!</f>
        <v>#REF!</v>
      </c>
      <c r="CY6" s="565">
        <f>+entero!DL54</f>
        <v>0</v>
      </c>
      <c r="CZ6" s="565">
        <f>+entero!DM54</f>
        <v>23468.015469143284</v>
      </c>
      <c r="DA6" s="565">
        <f>+entero!DN54</f>
        <v>23456.944545372142</v>
      </c>
      <c r="DB6" s="565">
        <f>+entero!DO54</f>
        <v>23571.252203289056</v>
      </c>
      <c r="DC6" s="566">
        <f>+entero!DP54</f>
        <v>23540.635733096635</v>
      </c>
      <c r="DD6" s="564" t="e">
        <f>+entero!DQ54</f>
        <v>#REF!</v>
      </c>
      <c r="DE6" s="878" t="e">
        <f>+entero!DR54</f>
        <v>#REF!</v>
      </c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85.072789630089474</v>
      </c>
      <c r="CX7" s="594" t="e">
        <f>+entero!#REF!</f>
        <v>#REF!</v>
      </c>
      <c r="CY7" s="596">
        <f>+entero!DL55</f>
        <v>0</v>
      </c>
      <c r="CZ7" s="596">
        <f>+entero!DM55</f>
        <v>84.583925221615004</v>
      </c>
      <c r="DA7" s="596">
        <f>+entero!DN55</f>
        <v>84.567381676326804</v>
      </c>
      <c r="DB7" s="596">
        <f>+entero!DO55</f>
        <v>84.606402285198001</v>
      </c>
      <c r="DC7" s="597">
        <f>+entero!DP55</f>
        <v>84.610991810030598</v>
      </c>
      <c r="DD7" s="595" t="e">
        <f>+entero!DQ55</f>
        <v>#REF!</v>
      </c>
      <c r="DE7" s="597" t="e">
        <f>+entero!DR55</f>
        <v>#REF!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22461.952079313414</v>
      </c>
      <c r="CX8" s="451" t="e">
        <f>+entero!#REF!</f>
        <v>#REF!</v>
      </c>
      <c r="CY8" s="565">
        <f>+entero!DL56</f>
        <v>0</v>
      </c>
      <c r="CZ8" s="565">
        <f>+entero!DM56</f>
        <v>22136.633788724914</v>
      </c>
      <c r="DA8" s="565">
        <f>+entero!DN56</f>
        <v>22124.129153961068</v>
      </c>
      <c r="DB8" s="565">
        <f>+entero!DO56</f>
        <v>22236.211847240953</v>
      </c>
      <c r="DC8" s="566">
        <f>+entero!DP56</f>
        <v>22202.941112119956</v>
      </c>
      <c r="DD8" s="564" t="e">
        <f>+entero!DQ56</f>
        <v>#REF!</v>
      </c>
      <c r="DE8" s="878" t="e">
        <f>+entero!DR56</f>
        <v>#REF!</v>
      </c>
      <c r="DF8" s="452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84.174236756067486</v>
      </c>
      <c r="CX9" s="594" t="e">
        <f>+entero!#REF!</f>
        <v>#REF!</v>
      </c>
      <c r="CY9" s="596">
        <f>+entero!DL57</f>
        <v>0</v>
      </c>
      <c r="CZ9" s="596">
        <f>+entero!DM57</f>
        <v>83.85183592064736</v>
      </c>
      <c r="DA9" s="596">
        <f>+entero!DN57</f>
        <v>83.835385255985955</v>
      </c>
      <c r="DB9" s="596">
        <f>+entero!DO57</f>
        <v>83.877887319982051</v>
      </c>
      <c r="DC9" s="597">
        <f>+entero!DP57</f>
        <v>83.863719485408836</v>
      </c>
      <c r="DD9" s="595" t="e">
        <f>+entero!DQ57</f>
        <v>#REF!</v>
      </c>
      <c r="DE9" s="597" t="e">
        <f>+entero!DR57</f>
        <v>#REF!</v>
      </c>
      <c r="DF9" s="452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8"/>
      <c r="CZ10" s="88"/>
      <c r="DA10" s="88"/>
      <c r="DB10" s="88"/>
      <c r="DC10" s="317"/>
      <c r="DD10" s="316"/>
      <c r="DE10" s="317"/>
      <c r="DF10" s="452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451" t="e">
        <f>+entero!#REF!</f>
        <v>#REF!</v>
      </c>
      <c r="CY11" s="565">
        <f>+entero!DL59</f>
        <v>0</v>
      </c>
      <c r="CZ11" s="565">
        <f>+entero!DM59</f>
        <v>4780.9909178110956</v>
      </c>
      <c r="DA11" s="565">
        <f>+entero!DN59</f>
        <v>4746.6412598694042</v>
      </c>
      <c r="DB11" s="565">
        <f>+entero!DO59</f>
        <v>4870.710494299432</v>
      </c>
      <c r="DC11" s="566">
        <f>+entero!DP59</f>
        <v>4832.8441897979737</v>
      </c>
      <c r="DD11" s="564" t="e">
        <f>+entero!DQ59</f>
        <v>#REF!</v>
      </c>
      <c r="DE11" s="878" t="e">
        <f>+entero!DR59</f>
        <v>#REF!</v>
      </c>
      <c r="DF11" s="452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4" t="e">
        <f>+entero!#REF!</f>
        <v>#REF!</v>
      </c>
      <c r="CY12" s="596">
        <f>+entero!DL60</f>
        <v>0</v>
      </c>
      <c r="CZ12" s="596">
        <f>+entero!DM60</f>
        <v>77.13159485743985</v>
      </c>
      <c r="DA12" s="596">
        <f>+entero!DN60</f>
        <v>77.070857064930678</v>
      </c>
      <c r="DB12" s="596">
        <f>+entero!DO60</f>
        <v>77.249640918725476</v>
      </c>
      <c r="DC12" s="597">
        <f>+entero!DP60</f>
        <v>77.092491330418071</v>
      </c>
      <c r="DD12" s="595" t="e">
        <f>+entero!DQ60</f>
        <v>#REF!</v>
      </c>
      <c r="DE12" s="597" t="e">
        <f>+entero!DR60</f>
        <v>#REF!</v>
      </c>
      <c r="DF12" s="452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8"/>
      <c r="CZ13" s="88"/>
      <c r="DA13" s="88"/>
      <c r="DB13" s="88"/>
      <c r="DC13" s="317"/>
      <c r="DD13" s="316"/>
      <c r="DE13" s="317"/>
      <c r="DF13" s="452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451" t="e">
        <f>+entero!#REF!</f>
        <v>#REF!</v>
      </c>
      <c r="CY14" s="565">
        <f>+entero!DL62</f>
        <v>0</v>
      </c>
      <c r="CZ14" s="565">
        <f>+entero!DM62</f>
        <v>7245.021077166366</v>
      </c>
      <c r="DA14" s="565">
        <f>+entero!DN62</f>
        <v>7239.5084633675306</v>
      </c>
      <c r="DB14" s="565">
        <f>+entero!DO62</f>
        <v>7216.2163030949368</v>
      </c>
      <c r="DC14" s="566">
        <f>+entero!DP62</f>
        <v>7201.0398264112628</v>
      </c>
      <c r="DD14" s="564" t="e">
        <f>+entero!DQ62</f>
        <v>#REF!</v>
      </c>
      <c r="DE14" s="878" t="e">
        <f>+entero!DR62</f>
        <v>#REF!</v>
      </c>
      <c r="DF14" s="452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4" t="e">
        <f>+entero!#REF!</f>
        <v>#REF!</v>
      </c>
      <c r="CY15" s="596">
        <f>+entero!DL63</f>
        <v>0</v>
      </c>
      <c r="CZ15" s="596">
        <f>+entero!DM63</f>
        <v>76.397513821416268</v>
      </c>
      <c r="DA15" s="596">
        <f>+entero!DN63</f>
        <v>76.324160334534241</v>
      </c>
      <c r="DB15" s="596">
        <f>+entero!DO63</f>
        <v>76.435426849545763</v>
      </c>
      <c r="DC15" s="597">
        <f>+entero!DP63</f>
        <v>76.379357602544516</v>
      </c>
      <c r="DD15" s="595" t="e">
        <f>+entero!DQ63</f>
        <v>#REF!</v>
      </c>
      <c r="DE15" s="597" t="e">
        <f>+entero!DR63</f>
        <v>#REF!</v>
      </c>
      <c r="DF15" s="452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8"/>
      <c r="CZ16" s="88"/>
      <c r="DA16" s="88"/>
      <c r="DB16" s="88"/>
      <c r="DC16" s="317"/>
      <c r="DD16" s="316"/>
      <c r="DE16" s="317"/>
      <c r="DF16" s="452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451" t="e">
        <f>+entero!#REF!</f>
        <v>#REF!</v>
      </c>
      <c r="CY17" s="565">
        <f>+entero!DL65</f>
        <v>0</v>
      </c>
      <c r="CZ17" s="565">
        <f>+entero!DM65</f>
        <v>9280.0634156399337</v>
      </c>
      <c r="DA17" s="565">
        <f>+entero!DN65</f>
        <v>9305.8794577069912</v>
      </c>
      <c r="DB17" s="565">
        <f>+entero!DO65</f>
        <v>9317.8074870612199</v>
      </c>
      <c r="DC17" s="566">
        <f>+entero!DP65</f>
        <v>9340.0610479912466</v>
      </c>
      <c r="DD17" s="564" t="e">
        <f>+entero!DQ65</f>
        <v>#REF!</v>
      </c>
      <c r="DE17" s="878" t="e">
        <f>+entero!DR65</f>
        <v>#REF!</v>
      </c>
      <c r="DF17" s="452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4" t="e">
        <f>+entero!#REF!</f>
        <v>#REF!</v>
      </c>
      <c r="CY18" s="596">
        <f>+entero!DL66</f>
        <v>0</v>
      </c>
      <c r="CZ18" s="596">
        <f>+entero!DM66</f>
        <v>94.213823550879169</v>
      </c>
      <c r="DA18" s="596">
        <f>+entero!DN66</f>
        <v>94.223273691754926</v>
      </c>
      <c r="DB18" s="596">
        <f>+entero!DO66</f>
        <v>94.231137976157839</v>
      </c>
      <c r="DC18" s="597">
        <f>+entero!DP66</f>
        <v>94.236719599448548</v>
      </c>
      <c r="DD18" s="595" t="e">
        <f>+entero!DQ66</f>
        <v>#REF!</v>
      </c>
      <c r="DE18" s="597" t="e">
        <f>+entero!DR66</f>
        <v>#REF!</v>
      </c>
      <c r="DF18" s="452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8"/>
      <c r="CZ19" s="88"/>
      <c r="DA19" s="88"/>
      <c r="DB19" s="88"/>
      <c r="DC19" s="317"/>
      <c r="DD19" s="316"/>
      <c r="DE19" s="317"/>
      <c r="DF19" s="452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821.24991537317783</v>
      </c>
      <c r="CX20" s="451" t="e">
        <f>+entero!#REF!</f>
        <v>#REF!</v>
      </c>
      <c r="CY20" s="565">
        <f>+entero!DL68</f>
        <v>0</v>
      </c>
      <c r="CZ20" s="565">
        <f>+entero!DM68</f>
        <v>830.55837810752007</v>
      </c>
      <c r="DA20" s="565">
        <f>+entero!DN68</f>
        <v>832.09997301714066</v>
      </c>
      <c r="DB20" s="565">
        <f>+entero!DO68</f>
        <v>831.47756278536269</v>
      </c>
      <c r="DC20" s="566">
        <f>+entero!DP68</f>
        <v>828.99604791947309</v>
      </c>
      <c r="DD20" s="564" t="e">
        <f>+entero!DQ68</f>
        <v>#REF!</v>
      </c>
      <c r="DE20" s="878" t="e">
        <f>+entero!DR68</f>
        <v>#REF!</v>
      </c>
      <c r="DF20" s="452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81.43535393647781</v>
      </c>
      <c r="CX21" s="594" t="e">
        <f>+entero!#REF!</f>
        <v>#REF!</v>
      </c>
      <c r="CY21" s="596">
        <f>+entero!DL69</f>
        <v>0</v>
      </c>
      <c r="CZ21" s="596">
        <f>+entero!DM69</f>
        <v>81.870310384201147</v>
      </c>
      <c r="DA21" s="596">
        <f>+entero!DN69</f>
        <v>81.831922102533653</v>
      </c>
      <c r="DB21" s="596">
        <f>+entero!DO69</f>
        <v>81.743628291516217</v>
      </c>
      <c r="DC21" s="597">
        <f>+entero!DP69</f>
        <v>81.562361107435564</v>
      </c>
      <c r="DD21" s="595" t="e">
        <f>+entero!DQ69</f>
        <v>#REF!</v>
      </c>
      <c r="DE21" s="597" t="e">
        <f>+entero!DR69</f>
        <v>#REF!</v>
      </c>
      <c r="DF21" s="452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8"/>
      <c r="CZ22" s="88"/>
      <c r="DA22" s="88"/>
      <c r="DB22" s="88"/>
      <c r="DC22" s="317"/>
      <c r="DD22" s="316"/>
      <c r="DE22" s="317"/>
      <c r="DF22" s="452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451" t="e">
        <f>+entero!#REF!</f>
        <v>#REF!</v>
      </c>
      <c r="CY23" s="565">
        <f>+entero!DL71</f>
        <v>0</v>
      </c>
      <c r="CZ23" s="565">
        <f>+entero!DM71</f>
        <v>4972.5748928133407</v>
      </c>
      <c r="DA23" s="565">
        <f>+entero!DN71</f>
        <v>4934.6647154420461</v>
      </c>
      <c r="DB23" s="565">
        <f>+entero!DO71</f>
        <v>5024.8689663867872</v>
      </c>
      <c r="DC23" s="566">
        <f>+entero!DP71</f>
        <v>4923.9511241539813</v>
      </c>
      <c r="DD23" s="564" t="e">
        <f>+entero!DQ71</f>
        <v>#REF!</v>
      </c>
      <c r="DE23" s="878" t="e">
        <f>+entero!DR71</f>
        <v>#REF!</v>
      </c>
      <c r="DF23" s="452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451" t="e">
        <f>+entero!#REF!</f>
        <v>#REF!</v>
      </c>
      <c r="CY24" s="565">
        <f>+entero!DL72</f>
        <v>0</v>
      </c>
      <c r="CZ24" s="565">
        <f>+entero!DM72</f>
        <v>1676.0462205932945</v>
      </c>
      <c r="DA24" s="565">
        <f>+entero!DN72</f>
        <v>1654.6985632004373</v>
      </c>
      <c r="DB24" s="565">
        <f>+entero!DO72</f>
        <v>1673.0013028206999</v>
      </c>
      <c r="DC24" s="566">
        <f>+entero!DP72</f>
        <v>1651.288189681487</v>
      </c>
      <c r="DD24" s="564" t="e">
        <f>+entero!DQ72</f>
        <v>#REF!</v>
      </c>
      <c r="DE24" s="878" t="e">
        <f>+entero!DR72</f>
        <v>#REF!</v>
      </c>
      <c r="DF24" s="452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451" t="e">
        <f>+entero!#REF!</f>
        <v>#REF!</v>
      </c>
      <c r="CY25" s="565">
        <f>+entero!DL73</f>
        <v>0</v>
      </c>
      <c r="CZ25" s="565">
        <f>+entero!DM73</f>
        <v>635.89113796355684</v>
      </c>
      <c r="DA25" s="565">
        <f>+entero!DN73</f>
        <v>622.93691098833801</v>
      </c>
      <c r="DB25" s="565">
        <f>+entero!DO73</f>
        <v>622.9392579985423</v>
      </c>
      <c r="DC25" s="566">
        <f>+entero!DP73</f>
        <v>622.93952724344001</v>
      </c>
      <c r="DD25" s="564" t="e">
        <f>+entero!DQ73</f>
        <v>#REF!</v>
      </c>
      <c r="DE25" s="878" t="e">
        <f>+entero!DR73</f>
        <v>#REF!</v>
      </c>
      <c r="DF25" s="452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451" t="e">
        <f>+entero!#REF!</f>
        <v>#REF!</v>
      </c>
      <c r="CY26" s="565">
        <f>+entero!DL74</f>
        <v>0</v>
      </c>
      <c r="CZ26" s="565">
        <f>+entero!DM74</f>
        <v>832.98958467648959</v>
      </c>
      <c r="DA26" s="565">
        <f>+entero!DN74</f>
        <v>826.97855559327115</v>
      </c>
      <c r="DB26" s="565">
        <f>+entero!DO74</f>
        <v>898.85290432754516</v>
      </c>
      <c r="DC26" s="566">
        <f>+entero!DP74</f>
        <v>819.56470097905549</v>
      </c>
      <c r="DD26" s="564" t="e">
        <f>+entero!DQ74</f>
        <v>#REF!</v>
      </c>
      <c r="DE26" s="878" t="e">
        <f>+entero!DR74</f>
        <v>#REF!</v>
      </c>
      <c r="DF26" s="452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451" t="e">
        <f>+entero!#REF!</f>
        <v>#REF!</v>
      </c>
      <c r="CY27" s="565">
        <f>+entero!DL75</f>
        <v>0</v>
      </c>
      <c r="CZ27" s="565">
        <f>+entero!DM75</f>
        <v>1827.6479495799997</v>
      </c>
      <c r="DA27" s="565">
        <f>+entero!DN75</f>
        <v>1830.0506856599998</v>
      </c>
      <c r="DB27" s="565">
        <f>+entero!DO75</f>
        <v>1830.0755012400002</v>
      </c>
      <c r="DC27" s="566">
        <f>+entero!DP75</f>
        <v>1830.1587062499993</v>
      </c>
      <c r="DD27" s="564" t="e">
        <f>+entero!DQ75</f>
        <v>#REF!</v>
      </c>
      <c r="DE27" s="878" t="e">
        <f>+entero!DR75</f>
        <v>#REF!</v>
      </c>
      <c r="DF27" s="452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451" t="e">
        <f>+entero!#REF!</f>
        <v>#REF!</v>
      </c>
      <c r="CY28" s="565">
        <f>+entero!DL76</f>
        <v>0</v>
      </c>
      <c r="CZ28" s="565">
        <f>+entero!DM76</f>
        <v>1086.8128131467988</v>
      </c>
      <c r="DA28" s="565">
        <f>+entero!DN76</f>
        <v>1064.8435887288704</v>
      </c>
      <c r="DB28" s="565">
        <f>+entero!DO76</f>
        <v>1150.215005585294</v>
      </c>
      <c r="DC28" s="566">
        <f>+entero!DP76</f>
        <v>1052.0490977071681</v>
      </c>
      <c r="DD28" s="564" t="e">
        <f>+entero!DQ76</f>
        <v>#REF!</v>
      </c>
      <c r="DE28" s="878" t="e">
        <f>+entero!DR76</f>
        <v>#REF!</v>
      </c>
      <c r="DF28" s="452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451" t="e">
        <f>+entero!#REF!</f>
        <v>#REF!</v>
      </c>
      <c r="CY29" s="565">
        <f>+entero!DL77</f>
        <v>0</v>
      </c>
      <c r="CZ29" s="565">
        <f>+entero!DM77</f>
        <v>779.34486065030899</v>
      </c>
      <c r="DA29" s="565">
        <f>+entero!DN77</f>
        <v>764.88233149559903</v>
      </c>
      <c r="DB29" s="565">
        <f>+entero!DO77</f>
        <v>780.79877634774869</v>
      </c>
      <c r="DC29" s="566">
        <f>+entero!DP77</f>
        <v>761.31593973811243</v>
      </c>
      <c r="DD29" s="564" t="e">
        <f>+entero!DQ77</f>
        <v>#REF!</v>
      </c>
      <c r="DE29" s="878" t="e">
        <f>+entero!DR77</f>
        <v>#REF!</v>
      </c>
      <c r="DF29" s="452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451" t="e">
        <f>+entero!#REF!</f>
        <v>#REF!</v>
      </c>
      <c r="CY30" s="565">
        <f>+entero!DL78</f>
        <v>0</v>
      </c>
      <c r="CZ30" s="565">
        <f>+entero!DM78</f>
        <v>307.4679524964896</v>
      </c>
      <c r="DA30" s="565">
        <f>+entero!DN78</f>
        <v>299.96125723327128</v>
      </c>
      <c r="DB30" s="565">
        <f>+entero!DO78</f>
        <v>369.41622923754528</v>
      </c>
      <c r="DC30" s="566">
        <f>+entero!DP78</f>
        <v>290.73315796905564</v>
      </c>
      <c r="DD30" s="564" t="e">
        <f>+entero!DQ78</f>
        <v>#REF!</v>
      </c>
      <c r="DE30" s="878" t="e">
        <f>+entero!DR78</f>
        <v>#REF!</v>
      </c>
      <c r="DF30" s="452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451" t="e">
        <f>+entero!#REF!</f>
        <v>#REF!</v>
      </c>
      <c r="CY31" s="565">
        <f>+entero!DL79</f>
        <v>0</v>
      </c>
      <c r="CZ31" s="565">
        <f>+entero!DM79</f>
        <v>0</v>
      </c>
      <c r="DA31" s="565">
        <f>+entero!DN79</f>
        <v>0</v>
      </c>
      <c r="DB31" s="565">
        <f>+entero!DO79</f>
        <v>0</v>
      </c>
      <c r="DC31" s="566">
        <f>+entero!DP79</f>
        <v>0</v>
      </c>
      <c r="DD31" s="564"/>
      <c r="DE31" s="878"/>
      <c r="DF31" s="452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19897.713064212763</v>
      </c>
      <c r="CX32" s="451" t="e">
        <f>+entero!#REF!</f>
        <v>#REF!</v>
      </c>
      <c r="CY32" s="565">
        <f>+entero!DL80</f>
        <v>0</v>
      </c>
      <c r="CZ32" s="565">
        <f>+entero!DM80</f>
        <v>19755.133309223627</v>
      </c>
      <c r="DA32" s="565">
        <f>+entero!DN80</f>
        <v>19765.23720683733</v>
      </c>
      <c r="DB32" s="565">
        <f>+entero!DO80</f>
        <v>19778.818543467059</v>
      </c>
      <c r="DC32" s="566">
        <f>+entero!DP80</f>
        <v>19817.551137258615</v>
      </c>
      <c r="DD32" s="564" t="e">
        <f>+entero!DQ80</f>
        <v>#REF!</v>
      </c>
      <c r="DE32" s="878" t="e">
        <f>+entero!DR80</f>
        <v>#REF!</v>
      </c>
      <c r="DF32" s="452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 t="e">
        <f>+entero!#REF!</f>
        <v>#REF!</v>
      </c>
      <c r="CY33" s="88">
        <f>+entero!DL81</f>
        <v>0</v>
      </c>
      <c r="CZ33" s="88">
        <f>+entero!DM81</f>
        <v>0</v>
      </c>
      <c r="DA33" s="88">
        <f>+entero!DN81</f>
        <v>0</v>
      </c>
      <c r="DB33" s="88">
        <f>+entero!DO81</f>
        <v>0</v>
      </c>
      <c r="DC33" s="317">
        <f>+entero!DP81</f>
        <v>0</v>
      </c>
      <c r="DD33" s="316" t="e">
        <f>+entero!DQ81</f>
        <v>#REF!</v>
      </c>
      <c r="DE33" s="317" t="e">
        <f>+entero!DR81</f>
        <v>#REF!</v>
      </c>
      <c r="DF33" s="452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0" t="e">
        <f>+entero!#REF!</f>
        <v>#REF!</v>
      </c>
      <c r="CY34" s="542">
        <f>+entero!DL82</f>
        <v>0</v>
      </c>
      <c r="CZ34" s="542">
        <f>+entero!DM82</f>
        <v>96.788379148687255</v>
      </c>
      <c r="DA34" s="542">
        <f>+entero!DN82</f>
        <v>96.791780030104391</v>
      </c>
      <c r="DB34" s="542">
        <f>+entero!DO82</f>
        <v>96.79280746174237</v>
      </c>
      <c r="DC34" s="543">
        <f>+entero!DP82</f>
        <v>96.799775757823951</v>
      </c>
      <c r="DD34" s="541" t="e">
        <f>+entero!DQ82</f>
        <v>#REF!</v>
      </c>
      <c r="DE34" s="543" t="e">
        <f>+entero!DR82</f>
        <v>#REF!</v>
      </c>
      <c r="DF34" s="452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89"/>
      <c r="CY35" s="90"/>
      <c r="CZ35" s="90"/>
      <c r="DA35" s="90"/>
      <c r="DB35" s="889"/>
      <c r="DC35" s="312"/>
      <c r="DD35" s="89"/>
      <c r="DE35" s="600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</row>
    <row r="94" spans="1:119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199"/>
      <c r="DG94" s="199"/>
      <c r="DH94" s="199"/>
      <c r="DI94" s="199"/>
      <c r="DJ94" s="199"/>
      <c r="DK94" s="199"/>
      <c r="DL94" s="199"/>
      <c r="DM94" s="199"/>
      <c r="DN94" s="199"/>
      <c r="DO94" s="199"/>
    </row>
    <row r="95" spans="1:119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199"/>
      <c r="DG95" s="199"/>
      <c r="DH95" s="199"/>
      <c r="DI95" s="199"/>
      <c r="DJ95" s="199"/>
      <c r="DK95" s="199"/>
      <c r="DL95" s="199"/>
      <c r="DM95" s="199"/>
      <c r="DN95" s="199"/>
      <c r="DO95" s="199"/>
    </row>
    <row r="96" spans="1:119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199"/>
      <c r="DG96" s="199"/>
      <c r="DH96" s="199"/>
      <c r="DI96" s="199"/>
      <c r="DJ96" s="199"/>
      <c r="DK96" s="199"/>
      <c r="DL96" s="199"/>
      <c r="DM96" s="199"/>
      <c r="DN96" s="199"/>
      <c r="DO96" s="199"/>
    </row>
    <row r="97" spans="1:119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199"/>
      <c r="DG97" s="199"/>
      <c r="DH97" s="199"/>
      <c r="DI97" s="199"/>
      <c r="DJ97" s="199"/>
      <c r="DK97" s="199"/>
      <c r="DL97" s="199"/>
      <c r="DM97" s="199"/>
      <c r="DN97" s="199"/>
      <c r="DO97" s="199"/>
    </row>
    <row r="98" spans="1:119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199"/>
      <c r="DG98" s="199"/>
      <c r="DH98" s="199"/>
      <c r="DI98" s="199"/>
      <c r="DJ98" s="199"/>
      <c r="DK98" s="199"/>
      <c r="DL98" s="199"/>
      <c r="DM98" s="199"/>
      <c r="DN98" s="199"/>
      <c r="DO98" s="199"/>
    </row>
    <row r="99" spans="1:119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</row>
    <row r="100" spans="1:119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199"/>
      <c r="DG100" s="199"/>
      <c r="DH100" s="199"/>
      <c r="DI100" s="199"/>
      <c r="DJ100" s="199"/>
      <c r="DK100" s="199"/>
      <c r="DL100" s="199"/>
      <c r="DM100" s="199"/>
      <c r="DN100" s="199"/>
      <c r="DO100" s="199"/>
    </row>
    <row r="101" spans="1:119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199"/>
      <c r="DG101" s="199"/>
      <c r="DH101" s="199"/>
      <c r="DI101" s="199"/>
      <c r="DJ101" s="199"/>
      <c r="DK101" s="199"/>
      <c r="DL101" s="199"/>
      <c r="DM101" s="199"/>
      <c r="DN101" s="199"/>
      <c r="DO101" s="199"/>
    </row>
    <row r="102" spans="1:11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1:11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1:11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1:11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1:11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1:11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1:11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1:11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1:11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1:11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1:11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DD3:DE3"/>
    <mergeCell ref="CY3:DC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CX3:C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s="180" customFormat="1" ht="13.5" customHeight="1" x14ac:dyDescent="0.25">
      <c r="C3" s="181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41" t="s">
        <v>27</v>
      </c>
      <c r="DE3" s="942"/>
      <c r="DG3" s="208"/>
      <c r="DH3" s="208"/>
      <c r="DI3" s="208"/>
      <c r="DJ3" s="208"/>
      <c r="DK3" s="208"/>
      <c r="DL3" s="208"/>
      <c r="DM3" s="208"/>
      <c r="DN3" s="208"/>
      <c r="DO3" s="208"/>
      <c r="DP3" s="208"/>
    </row>
    <row r="4" spans="1:120" s="180" customFormat="1" ht="28.5" customHeight="1" thickBot="1" x14ac:dyDescent="0.25">
      <c r="C4" s="182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14">
        <f>+entero!DP4</f>
        <v>42762</v>
      </c>
      <c r="DD4" s="183" t="s">
        <v>13</v>
      </c>
      <c r="DE4" s="184" t="s">
        <v>196</v>
      </c>
      <c r="DG4" s="208"/>
      <c r="DH4" s="208"/>
      <c r="DI4" s="208"/>
      <c r="DJ4" s="208"/>
      <c r="DK4" s="208"/>
      <c r="DL4" s="208"/>
      <c r="DM4" s="208"/>
      <c r="DN4" s="208"/>
      <c r="DO4" s="208"/>
      <c r="DP4" s="208"/>
    </row>
    <row r="5" spans="1:12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79"/>
      <c r="DE5" s="36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 t="e">
        <f>+entero!#REF!</f>
        <v>#REF!</v>
      </c>
      <c r="CY6" s="14">
        <f>+entero!DL84</f>
        <v>0</v>
      </c>
      <c r="CZ6" s="14">
        <f>+entero!DM84</f>
        <v>6.96</v>
      </c>
      <c r="DA6" s="14">
        <f>+entero!DN84</f>
        <v>6.96</v>
      </c>
      <c r="DB6" s="14">
        <f>+entero!DO84</f>
        <v>6.96</v>
      </c>
      <c r="DC6" s="483">
        <f>+entero!DP84</f>
        <v>6.96</v>
      </c>
      <c r="DD6" s="589" t="e">
        <f>+entero!DQ84</f>
        <v>#REF!</v>
      </c>
      <c r="DE6" s="483" t="e">
        <f>+entero!DR84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 t="e">
        <f>+entero!#REF!</f>
        <v>#REF!</v>
      </c>
      <c r="CY7" s="14">
        <f>+entero!DL85</f>
        <v>0</v>
      </c>
      <c r="CZ7" s="14">
        <f>+entero!DM85</f>
        <v>6.86</v>
      </c>
      <c r="DA7" s="14">
        <f>+entero!DN85</f>
        <v>6.86</v>
      </c>
      <c r="DB7" s="14">
        <f>+entero!DO85</f>
        <v>6.86</v>
      </c>
      <c r="DC7" s="483">
        <f>+entero!DP85</f>
        <v>6.86</v>
      </c>
      <c r="DD7" s="589" t="e">
        <f>+entero!DQ85</f>
        <v>#REF!</v>
      </c>
      <c r="DE7" s="483" t="e">
        <f>+entero!DR85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75" t="e">
        <f>+entero!#REF!</f>
        <v>#REF!</v>
      </c>
      <c r="CY8" s="536">
        <f>+entero!DL86</f>
        <v>0</v>
      </c>
      <c r="CZ8" s="536">
        <f>+entero!DM86</f>
        <v>6.9613621950578626</v>
      </c>
      <c r="DA8" s="536">
        <f>+entero!DN86</f>
        <v>6.9561046980010985</v>
      </c>
      <c r="DB8" s="536">
        <f>+entero!DO86</f>
        <v>7.0090621705654179</v>
      </c>
      <c r="DC8" s="558">
        <f>+entero!DP86</f>
        <v>6.9545828733074089</v>
      </c>
      <c r="DD8" s="614" t="e">
        <f>+entero!DQ86</f>
        <v>#REF!</v>
      </c>
      <c r="DE8" s="558" t="e">
        <f>+entero!DR86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75" t="e">
        <f>+entero!#REF!</f>
        <v>#REF!</v>
      </c>
      <c r="CY9" s="611"/>
      <c r="CZ9" s="611"/>
      <c r="DA9" s="611"/>
      <c r="DB9" s="611"/>
      <c r="DC9" s="868"/>
      <c r="DD9" s="614"/>
      <c r="DE9" s="558"/>
      <c r="DF9" s="3"/>
      <c r="DG9" s="20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 t="e">
        <f>+entero!#REF!</f>
        <v>#REF!</v>
      </c>
      <c r="CY10" s="867">
        <f>+entero!DL88</f>
        <v>0</v>
      </c>
      <c r="CZ10" s="867">
        <f>+entero!DM88</f>
        <v>2.17801</v>
      </c>
      <c r="DA10" s="867">
        <f>+entero!DN88</f>
        <v>2.1782400000000002</v>
      </c>
      <c r="DB10" s="867">
        <f>+entero!DO88</f>
        <v>2.1784699999999999</v>
      </c>
      <c r="DC10" s="484">
        <f>+entero!DP88</f>
        <v>2.1787000000000001</v>
      </c>
      <c r="DD10" s="589" t="e">
        <f>+entero!DQ88</f>
        <v>#REF!</v>
      </c>
      <c r="DE10" s="483" t="e">
        <f>+entero!DR88</f>
        <v>#REF!</v>
      </c>
      <c r="DF10" s="3"/>
      <c r="DG10" s="210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3" t="e">
        <f>+entero!#REF!</f>
        <v>#REF!</v>
      </c>
      <c r="CY11" s="611"/>
      <c r="CZ11" s="611"/>
      <c r="DA11" s="611"/>
      <c r="DB11" s="611"/>
      <c r="DC11" s="611"/>
      <c r="DD11" s="615"/>
      <c r="DE11" s="485"/>
      <c r="DF11" s="3"/>
      <c r="DG11" s="210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42769.764755671298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X3:C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25" t="e">
        <f>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7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 t="str">
        <f>entero!CT3</f>
        <v xml:space="preserve">2016                         A  fines de Sep* </v>
      </c>
      <c r="CU4" s="927" t="str">
        <f>entero!CU3</f>
        <v xml:space="preserve">2016                         A  fines de Oct* </v>
      </c>
      <c r="CV4" s="927" t="str">
        <f>entero!CV3</f>
        <v xml:space="preserve">2016                         A  fines de Nov* </v>
      </c>
      <c r="CW4" s="927" t="str">
        <f>entero!CW3</f>
        <v>2016                         A  fines de Dic* 15</v>
      </c>
      <c r="CX4" s="926" t="e">
        <f>entero!#REF!</f>
        <v>#REF!</v>
      </c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3"/>
      <c r="CZ5" s="33"/>
      <c r="DA5" s="33"/>
      <c r="DB5" s="33"/>
      <c r="DC5" s="310"/>
      <c r="DD5" s="81"/>
      <c r="DE5" s="34"/>
      <c r="DF5" s="206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1" t="e">
        <f>+entero!#REF!</f>
        <v>#REF!</v>
      </c>
      <c r="DD6" s="13" t="e">
        <f>+entero!#REF!</f>
        <v>#REF!</v>
      </c>
      <c r="DE6" s="82" t="e">
        <f>+entero!#REF!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1" t="e">
        <f>+entero!#REF!</f>
        <v>#REF!</v>
      </c>
      <c r="DD7" s="13" t="e">
        <f>+entero!#REF!</f>
        <v>#REF!</v>
      </c>
      <c r="DE7" s="82" t="e">
        <f>+entero!#REF!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1" t="e">
        <f>+entero!#REF!</f>
        <v>#REF!</v>
      </c>
      <c r="DD8" s="13" t="e">
        <f>+entero!#REF!</f>
        <v>#REF!</v>
      </c>
      <c r="DE8" s="82" t="e">
        <f>+entero!#REF!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1" t="e">
        <f>+entero!#REF!</f>
        <v>#REF!</v>
      </c>
      <c r="DD9" s="13" t="e">
        <f>+entero!#REF!</f>
        <v>#REF!</v>
      </c>
      <c r="DE9" s="82" t="e">
        <f>+entero!#REF!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 t="e">
        <f>+entero!#REF!</f>
        <v>#REF!</v>
      </c>
      <c r="CY10" s="617">
        <f>+entero!DL91</f>
        <v>0</v>
      </c>
      <c r="CZ10" s="617">
        <f>+entero!DM91</f>
        <v>1717.6474494402332</v>
      </c>
      <c r="DA10" s="617">
        <f>+entero!DN91</f>
        <v>1717.6474494402332</v>
      </c>
      <c r="DB10" s="617">
        <f>+entero!DO91</f>
        <v>1717.6474494402332</v>
      </c>
      <c r="DC10" s="617">
        <f>+entero!DP91</f>
        <v>1734.3680986720115</v>
      </c>
      <c r="DD10" s="618" t="e">
        <f>+entero!DQ91</f>
        <v>#REF!</v>
      </c>
      <c r="DE10" s="879" t="e">
        <f>+entero!DR91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</row>
    <row r="75" spans="1:120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AA3:AA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AE3:AE4"/>
    <mergeCell ref="BJ3:BJ4"/>
    <mergeCell ref="BH3:BH4"/>
    <mergeCell ref="AZ3:AZ4"/>
    <mergeCell ref="BA3:BA4"/>
    <mergeCell ref="DD3:DE3"/>
    <mergeCell ref="CS3:CS4"/>
    <mergeCell ref="CQ3:CQ4"/>
    <mergeCell ref="CY3:DC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abSelected="1"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2" width="7.85546875" customWidth="1"/>
    <col min="103" max="106" width="7.7109375" customWidth="1"/>
    <col min="107" max="107" width="7.85546875" customWidth="1"/>
    <col min="108" max="108" width="1.5703125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8"/>
      <c r="CZ2" s="8"/>
      <c r="DA2" s="8"/>
      <c r="DB2" s="366"/>
      <c r="DC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23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23"/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90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891"/>
      <c r="CY5" s="139"/>
      <c r="CZ5" s="139"/>
      <c r="DA5" s="139"/>
      <c r="DB5" s="139"/>
      <c r="DC5" s="306"/>
      <c r="DD5" s="76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2.75" customHeight="1" x14ac:dyDescent="0.2">
      <c r="A6" s="3"/>
      <c r="B6" s="906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892"/>
      <c r="CY6" s="42"/>
      <c r="CZ6" s="42"/>
      <c r="DA6" s="42"/>
      <c r="DB6" s="42"/>
      <c r="DC6" s="307"/>
      <c r="DD6" s="77"/>
      <c r="DE6" s="212"/>
      <c r="DF6" s="212"/>
      <c r="DG6" s="212"/>
      <c r="DH6" s="212"/>
      <c r="DI6" s="212"/>
      <c r="DJ6" s="212"/>
      <c r="DK6" s="212"/>
      <c r="DL6" s="199"/>
      <c r="DM6" s="199"/>
      <c r="DN6" s="199"/>
    </row>
    <row r="7" spans="1:118" x14ac:dyDescent="0.2">
      <c r="A7" s="3"/>
      <c r="B7" s="906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892"/>
      <c r="CY7" s="42"/>
      <c r="CZ7" s="42"/>
      <c r="DA7" s="42"/>
      <c r="DB7" s="42"/>
      <c r="DC7" s="307"/>
      <c r="DD7" s="77"/>
      <c r="DE7" s="212"/>
      <c r="DF7" s="212"/>
      <c r="DG7" s="212"/>
      <c r="DH7" s="212"/>
      <c r="DI7" s="212"/>
      <c r="DJ7" s="212"/>
      <c r="DK7" s="212"/>
      <c r="DL7" s="199"/>
      <c r="DM7" s="199"/>
      <c r="DN7" s="199"/>
    </row>
    <row r="8" spans="1:118" x14ac:dyDescent="0.2">
      <c r="A8" s="3"/>
      <c r="B8" s="906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892"/>
      <c r="CY8" s="42"/>
      <c r="CZ8" s="42"/>
      <c r="DA8" s="42"/>
      <c r="DB8" s="42"/>
      <c r="DC8" s="307"/>
      <c r="DD8" s="77"/>
      <c r="DE8" s="212"/>
      <c r="DF8" s="212"/>
      <c r="DG8" s="212"/>
      <c r="DH8" s="212"/>
      <c r="DI8" s="212"/>
      <c r="DJ8" s="212"/>
      <c r="DK8" s="212"/>
      <c r="DL8" s="199"/>
      <c r="DM8" s="199"/>
      <c r="DN8" s="199"/>
    </row>
    <row r="9" spans="1:118" x14ac:dyDescent="0.2">
      <c r="A9" s="3"/>
      <c r="B9" s="906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892"/>
      <c r="CY9" s="42"/>
      <c r="CZ9" s="42"/>
      <c r="DA9" s="42"/>
      <c r="DB9" s="42"/>
      <c r="DC9" s="307"/>
      <c r="DD9" s="77"/>
      <c r="DE9" s="212"/>
      <c r="DF9" s="212"/>
      <c r="DG9" s="212"/>
      <c r="DH9" s="212"/>
      <c r="DI9" s="212"/>
      <c r="DJ9" s="212"/>
      <c r="DK9" s="212"/>
      <c r="DL9" s="199"/>
      <c r="DM9" s="199"/>
      <c r="DN9" s="199"/>
    </row>
    <row r="10" spans="1:118" x14ac:dyDescent="0.2">
      <c r="A10" s="3"/>
      <c r="B10" s="906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892"/>
      <c r="CY10" s="42"/>
      <c r="CZ10" s="42"/>
      <c r="DA10" s="42"/>
      <c r="DB10" s="42"/>
      <c r="DC10" s="307"/>
      <c r="DD10" s="77"/>
      <c r="DE10" s="212"/>
      <c r="DF10" s="212"/>
      <c r="DG10" s="212"/>
      <c r="DH10" s="212"/>
      <c r="DI10" s="212"/>
      <c r="DJ10" s="212"/>
      <c r="DK10" s="212"/>
      <c r="DL10" s="199"/>
      <c r="DM10" s="199"/>
      <c r="DN10" s="199"/>
    </row>
    <row r="11" spans="1:118" x14ac:dyDescent="0.2">
      <c r="A11" s="3"/>
      <c r="B11" s="906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892"/>
      <c r="CY11" s="42"/>
      <c r="CZ11" s="42"/>
      <c r="DA11" s="42"/>
      <c r="DB11" s="42"/>
      <c r="DC11" s="307"/>
      <c r="DD11" s="77"/>
      <c r="DE11" s="212"/>
      <c r="DF11" s="212"/>
      <c r="DG11" s="212"/>
      <c r="DH11" s="212"/>
      <c r="DI11" s="212"/>
      <c r="DJ11" s="212"/>
      <c r="DK11" s="212"/>
      <c r="DL11" s="199"/>
      <c r="DM11" s="199"/>
      <c r="DN11" s="199"/>
    </row>
    <row r="12" spans="1:118" x14ac:dyDescent="0.2">
      <c r="A12" s="3"/>
      <c r="B12" s="906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892"/>
      <c r="CY12" s="42"/>
      <c r="CZ12" s="42"/>
      <c r="DA12" s="42"/>
      <c r="DB12" s="42"/>
      <c r="DC12" s="307"/>
      <c r="DD12" s="77"/>
      <c r="DE12" s="212"/>
      <c r="DF12" s="212"/>
      <c r="DG12" s="212"/>
      <c r="DH12" s="212"/>
      <c r="DI12" s="212"/>
      <c r="DJ12" s="212"/>
      <c r="DK12" s="212"/>
      <c r="DL12" s="199"/>
      <c r="DM12" s="199"/>
      <c r="DN12" s="199"/>
    </row>
    <row r="13" spans="1:118" x14ac:dyDescent="0.2">
      <c r="A13" s="3"/>
      <c r="B13" s="906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892"/>
      <c r="CY13" s="42"/>
      <c r="CZ13" s="42"/>
      <c r="DA13" s="42"/>
      <c r="DB13" s="42"/>
      <c r="DC13" s="307"/>
      <c r="DD13" s="77"/>
      <c r="DE13" s="212"/>
      <c r="DF13" s="212"/>
      <c r="DG13" s="212"/>
      <c r="DH13" s="212"/>
      <c r="DI13" s="212"/>
      <c r="DJ13" s="212"/>
      <c r="DK13" s="212"/>
      <c r="DL13" s="199"/>
      <c r="DM13" s="199"/>
      <c r="DN13" s="199"/>
    </row>
    <row r="14" spans="1:118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892"/>
      <c r="CY14" s="42"/>
      <c r="CZ14" s="42"/>
      <c r="DA14" s="42"/>
      <c r="DB14" s="42"/>
      <c r="DC14" s="307"/>
      <c r="DD14" s="77"/>
      <c r="DE14" s="212"/>
      <c r="DF14" s="212"/>
      <c r="DG14" s="212"/>
      <c r="DH14" s="212"/>
      <c r="DI14" s="212"/>
      <c r="DJ14" s="212"/>
      <c r="DK14" s="212"/>
      <c r="DL14" s="199"/>
      <c r="DM14" s="199"/>
      <c r="DN14" s="199"/>
    </row>
    <row r="15" spans="1:118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892"/>
      <c r="CY15" s="42"/>
      <c r="CZ15" s="42"/>
      <c r="DA15" s="42"/>
      <c r="DB15" s="42"/>
      <c r="DC15" s="307"/>
      <c r="DD15" s="77"/>
      <c r="DE15" s="212"/>
      <c r="DF15" s="212"/>
      <c r="DG15" s="212"/>
      <c r="DH15" s="212"/>
      <c r="DI15" s="212"/>
      <c r="DJ15" s="212"/>
      <c r="DK15" s="212"/>
      <c r="DL15" s="199"/>
      <c r="DM15" s="199"/>
      <c r="DN15" s="199"/>
    </row>
    <row r="16" spans="1:118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892"/>
      <c r="CY16" s="42"/>
      <c r="CZ16" s="42"/>
      <c r="DA16" s="42"/>
      <c r="DB16" s="42"/>
      <c r="DC16" s="307"/>
      <c r="DD16" s="77"/>
      <c r="DE16" s="212"/>
      <c r="DF16" s="212"/>
      <c r="DG16" s="212"/>
      <c r="DH16" s="212"/>
      <c r="DI16" s="212"/>
      <c r="DJ16" s="212"/>
      <c r="DK16" s="212"/>
      <c r="DL16" s="199"/>
      <c r="DM16" s="199"/>
      <c r="DN16" s="199"/>
    </row>
    <row r="17" spans="1:118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893"/>
      <c r="CY17" s="42"/>
      <c r="CZ17" s="42"/>
      <c r="DA17" s="42"/>
      <c r="DB17" s="42"/>
      <c r="DC17" s="307"/>
      <c r="DD17" s="77"/>
      <c r="DE17" s="212"/>
      <c r="DF17" s="212"/>
      <c r="DG17" s="212"/>
      <c r="DH17" s="212"/>
      <c r="DI17" s="212"/>
      <c r="DJ17" s="212"/>
      <c r="DK17" s="212"/>
      <c r="DL17" s="199"/>
      <c r="DM17" s="199"/>
      <c r="DN17" s="199"/>
    </row>
    <row r="18" spans="1:118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3"/>
      <c r="CZ18" s="93"/>
      <c r="DA18" s="93"/>
      <c r="DB18" s="93"/>
      <c r="DC18" s="308"/>
      <c r="DD18" s="77"/>
      <c r="DE18" s="212"/>
      <c r="DF18" s="212"/>
      <c r="DG18" s="212"/>
      <c r="DH18" s="212"/>
      <c r="DI18" s="212"/>
      <c r="DJ18" s="212"/>
      <c r="DK18" s="212"/>
      <c r="DL18" s="199"/>
      <c r="DM18" s="199"/>
      <c r="DN18" s="199"/>
    </row>
    <row r="19" spans="1:118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 t="e">
        <f>+entero!#REF!</f>
        <v>#REF!</v>
      </c>
      <c r="CY19" s="14">
        <f>+entero!DL106</f>
        <v>0</v>
      </c>
      <c r="CZ19" s="14">
        <f>+entero!DM106</f>
        <v>2.5</v>
      </c>
      <c r="DA19" s="14">
        <f>+entero!DN106</f>
        <v>2.5</v>
      </c>
      <c r="DB19" s="14">
        <f>+entero!DO106</f>
        <v>2.5</v>
      </c>
      <c r="DC19" s="14">
        <f>+entero!DP106</f>
        <v>2.5</v>
      </c>
      <c r="DD19" s="77"/>
      <c r="DE19" s="212"/>
      <c r="DF19" s="212"/>
      <c r="DG19" s="212"/>
      <c r="DH19" s="212"/>
      <c r="DI19" s="212"/>
      <c r="DJ19" s="212"/>
      <c r="DK19" s="212"/>
      <c r="DL19" s="199"/>
      <c r="DM19" s="199"/>
      <c r="DN19" s="199"/>
    </row>
    <row r="20" spans="1:118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0" t="e">
        <f>+entero!#REF!</f>
        <v>#REF!</v>
      </c>
      <c r="CY20" s="531">
        <f>+entero!DL107</f>
        <v>0</v>
      </c>
      <c r="CZ20" s="531">
        <f>+entero!DM107</f>
        <v>4</v>
      </c>
      <c r="DA20" s="531">
        <f>+entero!DN107</f>
        <v>4</v>
      </c>
      <c r="DB20" s="531">
        <f>+entero!DO107</f>
        <v>4</v>
      </c>
      <c r="DC20" s="531">
        <f>+entero!DP107</f>
        <v>4</v>
      </c>
      <c r="DD20" s="77"/>
      <c r="DE20" s="212"/>
      <c r="DF20" s="212"/>
      <c r="DG20" s="212"/>
      <c r="DH20" s="212"/>
      <c r="DI20" s="212"/>
      <c r="DJ20" s="212"/>
      <c r="DK20" s="212"/>
      <c r="DL20" s="199"/>
      <c r="DM20" s="199"/>
      <c r="DN20" s="199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</row>
    <row r="89" spans="1:11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</row>
    <row r="90" spans="1:11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</row>
    <row r="91" spans="1:11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</row>
    <row r="92" spans="1:11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</row>
    <row r="93" spans="1:11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</row>
    <row r="94" spans="1:11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</row>
    <row r="95" spans="1:11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</row>
    <row r="96" spans="1:11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</row>
    <row r="97" spans="3:107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</row>
    <row r="98" spans="3:107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</row>
    <row r="99" spans="3:107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</row>
    <row r="100" spans="3:107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</row>
    <row r="101" spans="3:107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</row>
    <row r="102" spans="3:107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</row>
    <row r="103" spans="3:107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</row>
    <row r="104" spans="3:107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</row>
    <row r="105" spans="3:107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</row>
    <row r="106" spans="3:107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</row>
    <row r="107" spans="3:107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</row>
    <row r="108" spans="3:107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</row>
    <row r="109" spans="3:107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</row>
    <row r="110" spans="3:107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</row>
    <row r="111" spans="3:107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</row>
    <row r="112" spans="3:107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</row>
    <row r="113" spans="3:107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</row>
    <row r="114" spans="3:107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</row>
    <row r="115" spans="3:107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</row>
    <row r="116" spans="3:107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</row>
    <row r="117" spans="3:107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</row>
    <row r="118" spans="3:107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</row>
    <row r="119" spans="3:107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</row>
    <row r="120" spans="3:107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</row>
    <row r="121" spans="3:107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</row>
    <row r="122" spans="3:107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</row>
    <row r="123" spans="3:107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</row>
    <row r="124" spans="3:107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</row>
    <row r="125" spans="3:107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</row>
    <row r="126" spans="3:107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</row>
    <row r="127" spans="3:107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</row>
    <row r="128" spans="3:107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</row>
    <row r="129" spans="3:107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</row>
    <row r="130" spans="3:107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</row>
    <row r="131" spans="3:107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</row>
    <row r="132" spans="3:107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</row>
    <row r="133" spans="3:107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</row>
    <row r="134" spans="3:107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</row>
    <row r="135" spans="3:107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</row>
    <row r="136" spans="3:107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</row>
    <row r="137" spans="3:107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</row>
    <row r="138" spans="3:107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</row>
    <row r="139" spans="3:107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</row>
    <row r="140" spans="3:107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</row>
    <row r="141" spans="3:107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</row>
    <row r="142" spans="3:107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</row>
    <row r="143" spans="3:107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</row>
    <row r="144" spans="3:107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</row>
    <row r="145" spans="3:107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</row>
    <row r="146" spans="3:107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</row>
    <row r="147" spans="3:107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</row>
    <row r="148" spans="3:107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</row>
    <row r="149" spans="3:107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</row>
    <row r="150" spans="3:107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</row>
    <row r="151" spans="3:107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</row>
    <row r="152" spans="3:107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</row>
    <row r="153" spans="3:107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</row>
    <row r="154" spans="3:107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</row>
    <row r="155" spans="3:107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</row>
    <row r="156" spans="3:107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X3:CX4"/>
    <mergeCell ref="CY3:DC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R3:A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CZ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2017-02-03T22:27:49Z</cp:lastPrinted>
  <dcterms:created xsi:type="dcterms:W3CDTF">2002-08-27T17:11:09Z</dcterms:created>
  <dcterms:modified xsi:type="dcterms:W3CDTF">2017-02-03T22:28:28Z</dcterms:modified>
</cp:coreProperties>
</file>