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835" windowWidth="17490" windowHeight="38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28" i="1" l="1"/>
  <c r="DM27" i="1"/>
  <c r="DM26" i="1"/>
  <c r="DM25" i="1"/>
  <c r="DM24" i="1"/>
  <c r="DL28" i="1"/>
  <c r="DL27" i="1"/>
  <c r="DL26" i="1"/>
  <c r="DL25" i="1"/>
  <c r="DL24" i="1"/>
  <c r="DK28" i="1"/>
  <c r="DK27" i="1"/>
  <c r="DK26" i="1"/>
  <c r="DK25" i="1"/>
  <c r="DK24" i="1"/>
  <c r="DJ28" i="1"/>
  <c r="DJ27" i="1"/>
  <c r="DJ26" i="1"/>
  <c r="DJ25" i="1"/>
  <c r="DJ24" i="1"/>
  <c r="DI28" i="1"/>
  <c r="DI27" i="1"/>
  <c r="DI26" i="1"/>
  <c r="DI25" i="1"/>
  <c r="DI24" i="1"/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O91" i="1" l="1"/>
  <c r="DO88" i="1"/>
  <c r="DO86" i="1"/>
  <c r="DO85" i="1"/>
  <c r="DO84" i="1"/>
  <c r="DO82" i="1"/>
  <c r="DO81" i="1"/>
  <c r="DO80" i="1"/>
  <c r="DO79" i="1"/>
  <c r="DO78" i="1"/>
  <c r="DO77" i="1"/>
  <c r="DO76" i="1"/>
  <c r="DO75" i="1"/>
  <c r="DO74" i="1"/>
  <c r="DO73" i="1"/>
  <c r="DO72" i="1"/>
  <c r="DO71" i="1"/>
  <c r="DO68" i="1"/>
  <c r="DO65" i="1"/>
  <c r="DO62" i="1"/>
  <c r="DO59" i="1"/>
  <c r="DO56" i="1"/>
  <c r="DO54" i="1"/>
  <c r="DO52" i="1"/>
  <c r="DO51" i="1"/>
  <c r="DO49" i="1"/>
  <c r="DO48" i="1"/>
  <c r="DO45" i="1"/>
  <c r="DO44" i="1"/>
  <c r="DO43" i="1"/>
  <c r="DO42" i="1"/>
  <c r="DO41" i="1"/>
  <c r="DO40" i="1"/>
  <c r="DO39" i="1"/>
  <c r="DO38" i="1"/>
  <c r="DO36" i="1"/>
  <c r="DO35" i="1"/>
  <c r="DO34" i="1"/>
  <c r="DO32" i="1"/>
  <c r="DO31" i="1"/>
  <c r="DO30" i="1"/>
  <c r="DO16" i="1"/>
  <c r="DO15" i="1"/>
  <c r="DO14" i="1"/>
  <c r="DO13" i="1"/>
  <c r="DO12" i="1"/>
  <c r="DO11" i="1"/>
  <c r="DO10" i="1"/>
  <c r="DO9" i="1"/>
  <c r="DO8" i="1"/>
  <c r="DO7" i="1"/>
  <c r="DN91" i="1"/>
  <c r="DN88" i="1"/>
  <c r="DN86" i="1"/>
  <c r="DN85" i="1"/>
  <c r="DN84" i="1"/>
  <c r="DN82" i="1"/>
  <c r="DN81" i="1"/>
  <c r="DN80" i="1"/>
  <c r="DN79" i="1"/>
  <c r="DN78" i="1"/>
  <c r="DN77" i="1"/>
  <c r="DN76" i="1"/>
  <c r="DN75" i="1"/>
  <c r="DN74" i="1"/>
  <c r="DN73" i="1"/>
  <c r="DN72" i="1"/>
  <c r="DN71" i="1"/>
  <c r="DN69" i="1"/>
  <c r="DN68" i="1"/>
  <c r="DN66" i="1"/>
  <c r="DN65" i="1"/>
  <c r="DN63" i="1"/>
  <c r="DN62" i="1"/>
  <c r="DN60" i="1"/>
  <c r="DN59" i="1"/>
  <c r="DN57" i="1"/>
  <c r="DN56" i="1"/>
  <c r="DN55" i="1"/>
  <c r="DN54" i="1"/>
  <c r="DN52" i="1"/>
  <c r="DN51" i="1"/>
  <c r="DN49" i="1"/>
  <c r="DN48" i="1"/>
  <c r="DN45" i="1"/>
  <c r="DN44" i="1"/>
  <c r="DN43" i="1"/>
  <c r="DN42" i="1"/>
  <c r="DN41" i="1"/>
  <c r="DN40" i="1"/>
  <c r="DN39" i="1"/>
  <c r="DN38" i="1"/>
  <c r="DN36" i="1"/>
  <c r="DN35" i="1"/>
  <c r="DN34" i="1"/>
  <c r="DN32" i="1"/>
  <c r="DN31" i="1"/>
  <c r="DN30" i="1"/>
  <c r="DN28" i="1"/>
  <c r="DN16" i="1"/>
  <c r="DN15" i="1"/>
  <c r="DN14" i="1"/>
  <c r="DN13" i="1"/>
  <c r="DN12" i="1"/>
  <c r="DN11" i="1"/>
  <c r="DN10" i="1"/>
  <c r="DN9" i="1"/>
  <c r="DN8" i="1"/>
  <c r="DN7" i="1"/>
  <c r="DH84" i="1"/>
  <c r="DH50" i="1"/>
  <c r="DH47" i="1"/>
  <c r="DH46" i="1" s="1"/>
  <c r="DH28" i="1"/>
  <c r="DH10" i="8" s="1"/>
  <c r="DH27" i="1"/>
  <c r="DH9" i="8" s="1"/>
  <c r="DH26" i="1"/>
  <c r="DH8" i="8" s="1"/>
  <c r="DH25" i="1"/>
  <c r="DH7" i="8" s="1"/>
  <c r="DH24" i="1"/>
  <c r="DH6" i="8" s="1"/>
  <c r="DH17" i="1"/>
  <c r="DO27" i="1" l="1"/>
  <c r="DN24" i="1"/>
  <c r="DN26" i="1"/>
  <c r="DO25" i="1"/>
  <c r="DN27" i="1"/>
  <c r="DO26" i="1"/>
  <c r="DN25" i="1"/>
  <c r="DO24" i="1"/>
  <c r="DO28" i="1"/>
  <c r="DG20" i="4" l="1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84" i="1"/>
  <c r="DG6" i="5" s="1"/>
  <c r="DG50" i="1"/>
  <c r="DG47" i="1"/>
  <c r="DG46" i="1" s="1"/>
  <c r="DG13" i="7" s="1"/>
  <c r="DG28" i="1"/>
  <c r="DG10" i="8" s="1"/>
  <c r="DG27" i="1"/>
  <c r="DG9" i="8" s="1"/>
  <c r="DG26" i="1"/>
  <c r="DG8" i="8" s="1"/>
  <c r="DG25" i="1"/>
  <c r="DG7" i="8" s="1"/>
  <c r="DG24" i="1"/>
  <c r="DG6" i="8" s="1"/>
  <c r="DG17" i="1"/>
  <c r="DG17" i="9" s="1"/>
  <c r="DG14" i="7" l="1"/>
  <c r="DG17" i="7"/>
  <c r="DI3" i="4"/>
  <c r="DI20" i="4"/>
  <c r="DI19" i="4"/>
  <c r="DI4" i="4"/>
  <c r="DF20" i="4"/>
  <c r="DF19" i="4"/>
  <c r="DF3" i="4"/>
  <c r="DI3" i="10"/>
  <c r="DI10" i="10"/>
  <c r="DI9" i="10"/>
  <c r="DI8" i="10"/>
  <c r="DI7" i="10"/>
  <c r="DI6" i="10"/>
  <c r="DI4" i="10"/>
  <c r="DF10" i="10"/>
  <c r="DF4" i="10"/>
  <c r="DF3" i="10"/>
  <c r="DI3" i="5"/>
  <c r="DI10" i="5"/>
  <c r="DI8" i="5"/>
  <c r="DI7" i="5"/>
  <c r="DI4" i="5"/>
  <c r="DF10" i="5"/>
  <c r="DF8" i="5"/>
  <c r="DF7" i="5"/>
  <c r="DF3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F19" i="7"/>
  <c r="DF18" i="7"/>
  <c r="DF16" i="7"/>
  <c r="DF15" i="7"/>
  <c r="DF12" i="7"/>
  <c r="DF11" i="7"/>
  <c r="DF10" i="7"/>
  <c r="DF9" i="7"/>
  <c r="DF8" i="7"/>
  <c r="DF7" i="7"/>
  <c r="DF6" i="7"/>
  <c r="DF3" i="7"/>
  <c r="DI3" i="8"/>
  <c r="DI18" i="8"/>
  <c r="DI17" i="8"/>
  <c r="DI16" i="8"/>
  <c r="DI14" i="8"/>
  <c r="DI13" i="8"/>
  <c r="DI12" i="8"/>
  <c r="DI4" i="8"/>
  <c r="DF18" i="8"/>
  <c r="DF17" i="8"/>
  <c r="DF16" i="8"/>
  <c r="DF14" i="8"/>
  <c r="DF13" i="8"/>
  <c r="DF12" i="8"/>
  <c r="DF3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J4" i="1" l="1"/>
  <c r="DI84" i="1"/>
  <c r="DI6" i="5" s="1"/>
  <c r="DI50" i="1"/>
  <c r="DI17" i="7" s="1"/>
  <c r="DI47" i="1"/>
  <c r="DI10" i="8"/>
  <c r="DI9" i="8"/>
  <c r="DI8" i="8"/>
  <c r="DI7" i="8"/>
  <c r="DI6" i="8"/>
  <c r="DI17" i="1"/>
  <c r="DI17" i="9" s="1"/>
  <c r="DF84" i="1"/>
  <c r="DF6" i="5" s="1"/>
  <c r="DF50" i="1"/>
  <c r="DF17" i="7" s="1"/>
  <c r="DF47" i="1"/>
  <c r="DF28" i="1"/>
  <c r="DF10" i="8" s="1"/>
  <c r="DF27" i="1"/>
  <c r="DF9" i="8" s="1"/>
  <c r="DF26" i="1"/>
  <c r="DF8" i="8" s="1"/>
  <c r="DF25" i="1"/>
  <c r="DF7" i="8" s="1"/>
  <c r="DF24" i="1"/>
  <c r="DF6" i="8" s="1"/>
  <c r="DF17" i="1"/>
  <c r="DF17" i="9" s="1"/>
  <c r="DF46" i="1" l="1"/>
  <c r="DF13" i="7" s="1"/>
  <c r="DF14" i="7"/>
  <c r="DI46" i="1"/>
  <c r="DI13" i="7" s="1"/>
  <c r="DI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84" i="1"/>
  <c r="DE6" i="5" s="1"/>
  <c r="DE50" i="1"/>
  <c r="DE47" i="1"/>
  <c r="DE14" i="7" s="1"/>
  <c r="DE28" i="1"/>
  <c r="DE10" i="8" s="1"/>
  <c r="DE27" i="1"/>
  <c r="DE9" i="8" s="1"/>
  <c r="DE26" i="1"/>
  <c r="DE8" i="8" s="1"/>
  <c r="DE25" i="1"/>
  <c r="DE7" i="8" s="1"/>
  <c r="DE24" i="1"/>
  <c r="DE6" i="8" s="1"/>
  <c r="DE17" i="1"/>
  <c r="DE17" i="9" s="1"/>
  <c r="DE46" i="1" l="1"/>
  <c r="DE13" i="7" s="1"/>
  <c r="DE17" i="7"/>
  <c r="DD28" i="1"/>
  <c r="DD27" i="1"/>
  <c r="DD26" i="1"/>
  <c r="DD25" i="1"/>
  <c r="DD24" i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84" i="1"/>
  <c r="DD6" i="5" s="1"/>
  <c r="DD50" i="1"/>
  <c r="DD17" i="7" s="1"/>
  <c r="DD47" i="1"/>
  <c r="DD14" i="7" s="1"/>
  <c r="DD10" i="8"/>
  <c r="DD9" i="8"/>
  <c r="DD8" i="8"/>
  <c r="DD7" i="8"/>
  <c r="DD6" i="8"/>
  <c r="DD17" i="1"/>
  <c r="DD17" i="9" s="1"/>
  <c r="DD46" i="1" l="1"/>
  <c r="DD13" i="7" s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84" i="1" l="1"/>
  <c r="DJ6" i="5" s="1"/>
  <c r="DJ50" i="1"/>
  <c r="DJ17" i="7" s="1"/>
  <c r="DJ47" i="1"/>
  <c r="DJ14" i="7" s="1"/>
  <c r="DJ10" i="8"/>
  <c r="DJ9" i="8"/>
  <c r="DJ8" i="8"/>
  <c r="DJ7" i="8"/>
  <c r="DJ6" i="8"/>
  <c r="DJ17" i="1"/>
  <c r="DJ17" i="9" s="1"/>
  <c r="DK4" i="1"/>
  <c r="DJ46" i="1" l="1"/>
  <c r="DJ13" i="7" s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84" i="1"/>
  <c r="DC6" i="5" s="1"/>
  <c r="DC50" i="1"/>
  <c r="DC17" i="7" s="1"/>
  <c r="DC47" i="1"/>
  <c r="DC14" i="7" s="1"/>
  <c r="DC28" i="1"/>
  <c r="DC10" i="8" s="1"/>
  <c r="DC27" i="1"/>
  <c r="DC9" i="8" s="1"/>
  <c r="DC26" i="1"/>
  <c r="DC8" i="8" s="1"/>
  <c r="DC25" i="1"/>
  <c r="DC7" i="8" s="1"/>
  <c r="DC24" i="1"/>
  <c r="DC6" i="8" s="1"/>
  <c r="DC17" i="1"/>
  <c r="DC17" i="9" s="1"/>
  <c r="DC46" i="1" l="1"/>
  <c r="DC13" i="7" s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84" i="1"/>
  <c r="DL6" i="5" s="1"/>
  <c r="DL50" i="1"/>
  <c r="DL17" i="7" s="1"/>
  <c r="DL47" i="1"/>
  <c r="DL14" i="7" s="1"/>
  <c r="DL10" i="8"/>
  <c r="DL9" i="8"/>
  <c r="DL8" i="8"/>
  <c r="DL6" i="8"/>
  <c r="DL17" i="1"/>
  <c r="DL17" i="9" s="1"/>
  <c r="DL46" i="1" l="1"/>
  <c r="DL13" i="7" s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84" i="1" l="1"/>
  <c r="DB6" i="5" s="1"/>
  <c r="DB50" i="1"/>
  <c r="DB17" i="7" s="1"/>
  <c r="DB47" i="1"/>
  <c r="DB14" i="7" s="1"/>
  <c r="DB28" i="1"/>
  <c r="DB10" i="8" s="1"/>
  <c r="DB27" i="1"/>
  <c r="DB9" i="8" s="1"/>
  <c r="DB26" i="1"/>
  <c r="DB8" i="8" s="1"/>
  <c r="DB25" i="1"/>
  <c r="DB7" i="8" s="1"/>
  <c r="DB24" i="1"/>
  <c r="DB6" i="8" s="1"/>
  <c r="DB17" i="1"/>
  <c r="DB17" i="9" s="1"/>
  <c r="DB46" i="1" l="1"/>
  <c r="DB13" i="7" s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M84" i="1" l="1"/>
  <c r="DK84" i="1"/>
  <c r="DK6" i="5" s="1"/>
  <c r="DM50" i="1"/>
  <c r="DK50" i="1"/>
  <c r="DK17" i="7" s="1"/>
  <c r="DM47" i="1"/>
  <c r="DK47" i="1"/>
  <c r="DM17" i="1"/>
  <c r="DK17" i="1"/>
  <c r="DK17" i="9" s="1"/>
  <c r="DO50" i="1" l="1"/>
  <c r="DN50" i="1"/>
  <c r="DN47" i="1"/>
  <c r="DO47" i="1"/>
  <c r="DO17" i="1"/>
  <c r="DN17" i="1"/>
  <c r="DM17" i="7"/>
  <c r="DM17" i="9"/>
  <c r="DM6" i="5"/>
  <c r="DK46" i="1"/>
  <c r="DK13" i="7" s="1"/>
  <c r="DK14" i="7"/>
  <c r="DM46" i="1"/>
  <c r="DM14" i="7"/>
  <c r="DO46" i="1" l="1"/>
  <c r="DN46" i="1"/>
  <c r="DM13" i="7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84" i="1"/>
  <c r="DA6" i="5" s="1"/>
  <c r="DA50" i="1"/>
  <c r="DA17" i="7" s="1"/>
  <c r="DA47" i="1"/>
  <c r="DA14" i="7" s="1"/>
  <c r="DA28" i="1"/>
  <c r="DA10" i="8" s="1"/>
  <c r="DA27" i="1"/>
  <c r="DA9" i="8" s="1"/>
  <c r="DA26" i="1"/>
  <c r="DA8" i="8" s="1"/>
  <c r="DA25" i="1"/>
  <c r="DA7" i="8" s="1"/>
  <c r="DA24" i="1"/>
  <c r="DA6" i="8" s="1"/>
  <c r="DA17" i="1"/>
  <c r="DA17" i="9" s="1"/>
  <c r="DA46" i="1" l="1"/>
  <c r="DA13" i="7" s="1"/>
  <c r="CZ47" i="1"/>
  <c r="CZ50" i="1"/>
  <c r="CZ46" i="1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28" i="1"/>
  <c r="CZ10" i="8" s="1"/>
  <c r="CZ27" i="1"/>
  <c r="CZ9" i="8" s="1"/>
  <c r="CZ26" i="1"/>
  <c r="CZ25" i="1"/>
  <c r="CZ7" i="8" s="1"/>
  <c r="CZ24" i="1"/>
  <c r="CZ6" i="8" s="1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01" i="1"/>
  <c r="AU14" i="4" s="1"/>
  <c r="BM100" i="1"/>
  <c r="BM13" i="4" s="1"/>
  <c r="BM99" i="1"/>
  <c r="BM12" i="4" s="1"/>
  <c r="BM98" i="1"/>
  <c r="BM11" i="4" s="1"/>
  <c r="CC88" i="1"/>
  <c r="CC10" i="5" s="1"/>
  <c r="N88" i="1"/>
  <c r="N10" i="5" s="1"/>
  <c r="CZ84" i="1"/>
  <c r="CY84" i="1"/>
  <c r="CY6" i="5" s="1"/>
  <c r="CX84" i="1"/>
  <c r="CX6" i="5" s="1"/>
  <c r="CW84" i="1"/>
  <c r="CW6" i="5" s="1"/>
  <c r="CV84" i="1"/>
  <c r="CV6" i="5" s="1"/>
  <c r="CU84" i="1"/>
  <c r="CU6" i="5" s="1"/>
  <c r="CS84" i="1"/>
  <c r="CS6" i="5" s="1"/>
  <c r="CR84" i="1"/>
  <c r="CR6" i="5" s="1"/>
  <c r="CQ84" i="1"/>
  <c r="CQ6" i="5" s="1"/>
  <c r="CP84" i="1"/>
  <c r="CP6" i="5" s="1"/>
  <c r="CM84" i="1"/>
  <c r="CM6" i="5" s="1"/>
  <c r="CL84" i="1"/>
  <c r="CL6" i="5" s="1"/>
  <c r="CK84" i="1"/>
  <c r="CK6" i="5" s="1"/>
  <c r="CJ84" i="1"/>
  <c r="CJ6" i="5" s="1"/>
  <c r="CI84" i="1"/>
  <c r="CI6" i="5" s="1"/>
  <c r="CH84" i="1"/>
  <c r="CH6" i="5" s="1"/>
  <c r="CG84" i="1"/>
  <c r="CG6" i="5" s="1"/>
  <c r="CF84" i="1"/>
  <c r="CF6" i="5" s="1"/>
  <c r="CE84" i="1"/>
  <c r="CE6" i="5" s="1"/>
  <c r="CD84" i="1"/>
  <c r="CD6" i="5" s="1"/>
  <c r="CC84" i="1"/>
  <c r="CC6" i="5" s="1"/>
  <c r="CB84" i="1"/>
  <c r="CB6" i="5" s="1"/>
  <c r="CA84" i="1"/>
  <c r="CA6" i="5" s="1"/>
  <c r="BZ84" i="1"/>
  <c r="BZ6" i="5" s="1"/>
  <c r="BY84" i="1"/>
  <c r="BY6" i="5" s="1"/>
  <c r="BX84" i="1"/>
  <c r="BX6" i="5" s="1"/>
  <c r="BW84" i="1"/>
  <c r="BW6" i="5" s="1"/>
  <c r="BV84" i="1"/>
  <c r="BV6" i="5" s="1"/>
  <c r="BU84" i="1"/>
  <c r="BU6" i="5" s="1"/>
  <c r="BT84" i="1"/>
  <c r="BT6" i="5" s="1"/>
  <c r="BS84" i="1"/>
  <c r="BS6" i="5" s="1"/>
  <c r="BR84" i="1"/>
  <c r="BR6" i="5" s="1"/>
  <c r="BQ84" i="1"/>
  <c r="BQ6" i="5" s="1"/>
  <c r="BP84" i="1"/>
  <c r="BP6" i="5" s="1"/>
  <c r="BO84" i="1"/>
  <c r="BO6" i="5" s="1"/>
  <c r="BN84" i="1"/>
  <c r="BN6" i="5" s="1"/>
  <c r="BM84" i="1"/>
  <c r="BM6" i="5" s="1"/>
  <c r="BL84" i="1"/>
  <c r="BL6" i="5" s="1"/>
  <c r="BK84" i="1"/>
  <c r="BK6" i="5" s="1"/>
  <c r="BJ84" i="1"/>
  <c r="BJ6" i="5" s="1"/>
  <c r="BI84" i="1"/>
  <c r="BI6" i="5" s="1"/>
  <c r="BH84" i="1"/>
  <c r="BH6" i="5" s="1"/>
  <c r="BG84" i="1"/>
  <c r="BG6" i="5" s="1"/>
  <c r="BF84" i="1"/>
  <c r="BF6" i="5" s="1"/>
  <c r="BE84" i="1"/>
  <c r="BE6" i="5" s="1"/>
  <c r="BD84" i="1"/>
  <c r="BD6" i="5" s="1"/>
  <c r="BC84" i="1"/>
  <c r="BC6" i="5" s="1"/>
  <c r="BB84" i="1"/>
  <c r="BB6" i="5" s="1"/>
  <c r="BA84" i="1"/>
  <c r="BA6" i="5" s="1"/>
  <c r="AZ84" i="1"/>
  <c r="AZ6" i="5" s="1"/>
  <c r="AY84" i="1"/>
  <c r="AY6" i="5" s="1"/>
  <c r="AX84" i="1"/>
  <c r="AX6" i="5" s="1"/>
  <c r="AW84" i="1"/>
  <c r="AW6" i="5" s="1"/>
  <c r="AV84" i="1"/>
  <c r="AV6" i="5" s="1"/>
  <c r="AU84" i="1"/>
  <c r="AU6" i="5" s="1"/>
  <c r="AT84" i="1"/>
  <c r="AT6" i="5" s="1"/>
  <c r="AS84" i="1"/>
  <c r="AS6" i="5" s="1"/>
  <c r="AR84" i="1"/>
  <c r="AR6" i="5" s="1"/>
  <c r="AQ84" i="1"/>
  <c r="AQ6" i="5" s="1"/>
  <c r="AP84" i="1"/>
  <c r="AP6" i="5" s="1"/>
  <c r="AO84" i="1"/>
  <c r="AO6" i="5" s="1"/>
  <c r="AN84" i="1"/>
  <c r="AN6" i="5" s="1"/>
  <c r="AM84" i="1"/>
  <c r="AM6" i="5" s="1"/>
  <c r="AL84" i="1"/>
  <c r="AL6" i="5" s="1"/>
  <c r="AJ84" i="1"/>
  <c r="AJ6" i="5" s="1"/>
  <c r="AI84" i="1"/>
  <c r="AI6" i="5" s="1"/>
  <c r="AH84" i="1"/>
  <c r="AH6" i="5" s="1"/>
  <c r="AG84" i="1"/>
  <c r="AG6" i="5" s="1"/>
  <c r="AF84" i="1"/>
  <c r="AF6" i="5" s="1"/>
  <c r="AE84" i="1"/>
  <c r="AE6" i="5" s="1"/>
  <c r="AD84" i="1"/>
  <c r="AD6" i="5" s="1"/>
  <c r="AC84" i="1"/>
  <c r="AC6" i="5" s="1"/>
  <c r="AB84" i="1"/>
  <c r="AB6" i="5" s="1"/>
  <c r="AA84" i="1"/>
  <c r="AA6" i="5" s="1"/>
  <c r="Z84" i="1"/>
  <c r="Z6" i="5" s="1"/>
  <c r="Y84" i="1"/>
  <c r="Y6" i="5" s="1"/>
  <c r="X84" i="1"/>
  <c r="X6" i="5" s="1"/>
  <c r="W84" i="1"/>
  <c r="W6" i="5" s="1"/>
  <c r="V84" i="1"/>
  <c r="V6" i="5" s="1"/>
  <c r="U84" i="1"/>
  <c r="U6" i="5" s="1"/>
  <c r="T84" i="1"/>
  <c r="T6" i="5" s="1"/>
  <c r="S84" i="1"/>
  <c r="S6" i="5" s="1"/>
  <c r="R84" i="1"/>
  <c r="R6" i="5" s="1"/>
  <c r="Q84" i="1"/>
  <c r="Q6" i="5" s="1"/>
  <c r="O84" i="1"/>
  <c r="O6" i="5" s="1"/>
  <c r="N84" i="1"/>
  <c r="N6" i="5" s="1"/>
  <c r="M84" i="1"/>
  <c r="M6" i="5" s="1"/>
  <c r="L84" i="1"/>
  <c r="L6" i="5" s="1"/>
  <c r="K84" i="1"/>
  <c r="K6" i="5" s="1"/>
  <c r="J84" i="1"/>
  <c r="J6" i="5" s="1"/>
  <c r="CK69" i="1"/>
  <c r="CK21" i="6" s="1"/>
  <c r="CK66" i="1"/>
  <c r="CK18" i="6" s="1"/>
  <c r="CK63" i="1"/>
  <c r="CK15" i="6" s="1"/>
  <c r="CK60" i="1"/>
  <c r="CK12" i="6" s="1"/>
  <c r="CZ17" i="7"/>
  <c r="CY50" i="1"/>
  <c r="CY17" i="7" s="1"/>
  <c r="CX50" i="1"/>
  <c r="CX17" i="7" s="1"/>
  <c r="CW50" i="1"/>
  <c r="CW17" i="7" s="1"/>
  <c r="CV50" i="1"/>
  <c r="CV17" i="7" s="1"/>
  <c r="CU50" i="1"/>
  <c r="CU17" i="7" s="1"/>
  <c r="CS50" i="1"/>
  <c r="CS17" i="7" s="1"/>
  <c r="CR50" i="1"/>
  <c r="CR17" i="7" s="1"/>
  <c r="CQ50" i="1"/>
  <c r="CQ17" i="7" s="1"/>
  <c r="CP50" i="1"/>
  <c r="CP17" i="7" s="1"/>
  <c r="CM50" i="1"/>
  <c r="CM17" i="7" s="1"/>
  <c r="CL50" i="1"/>
  <c r="CL17" i="7" s="1"/>
  <c r="CK50" i="1"/>
  <c r="CK17" i="7" s="1"/>
  <c r="CJ50" i="1"/>
  <c r="CJ17" i="7" s="1"/>
  <c r="CI50" i="1"/>
  <c r="CI17" i="7" s="1"/>
  <c r="CH50" i="1"/>
  <c r="CH17" i="7" s="1"/>
  <c r="CG50" i="1"/>
  <c r="CG17" i="7" s="1"/>
  <c r="CF50" i="1"/>
  <c r="CF17" i="7" s="1"/>
  <c r="CE50" i="1"/>
  <c r="CE17" i="7" s="1"/>
  <c r="CD50" i="1"/>
  <c r="CD17" i="7" s="1"/>
  <c r="CC50" i="1"/>
  <c r="CC17" i="7" s="1"/>
  <c r="CB50" i="1"/>
  <c r="CB17" i="7" s="1"/>
  <c r="CA50" i="1"/>
  <c r="CA17" i="7" s="1"/>
  <c r="BZ50" i="1"/>
  <c r="BZ17" i="7" s="1"/>
  <c r="BY50" i="1"/>
  <c r="BY17" i="7" s="1"/>
  <c r="BX50" i="1"/>
  <c r="BX17" i="7" s="1"/>
  <c r="BW50" i="1"/>
  <c r="BW17" i="7" s="1"/>
  <c r="BV50" i="1"/>
  <c r="BV17" i="7" s="1"/>
  <c r="BU50" i="1"/>
  <c r="BU17" i="7" s="1"/>
  <c r="BT50" i="1"/>
  <c r="BT17" i="7" s="1"/>
  <c r="BS50" i="1"/>
  <c r="BS17" i="7" s="1"/>
  <c r="BR50" i="1"/>
  <c r="BR17" i="7" s="1"/>
  <c r="BQ50" i="1"/>
  <c r="BQ17" i="7" s="1"/>
  <c r="BP50" i="1"/>
  <c r="BP17" i="7" s="1"/>
  <c r="BO50" i="1"/>
  <c r="BO17" i="7" s="1"/>
  <c r="BN50" i="1"/>
  <c r="BN17" i="7" s="1"/>
  <c r="BM50" i="1"/>
  <c r="BM17" i="7" s="1"/>
  <c r="BL50" i="1"/>
  <c r="BL17" i="7" s="1"/>
  <c r="BK50" i="1"/>
  <c r="BK17" i="7" s="1"/>
  <c r="BJ50" i="1"/>
  <c r="BJ17" i="7" s="1"/>
  <c r="BI50" i="1"/>
  <c r="BI17" i="7" s="1"/>
  <c r="BH50" i="1"/>
  <c r="BH17" i="7" s="1"/>
  <c r="BG50" i="1"/>
  <c r="BG17" i="7" s="1"/>
  <c r="BF50" i="1"/>
  <c r="BF17" i="7" s="1"/>
  <c r="BE50" i="1"/>
  <c r="BE17" i="7" s="1"/>
  <c r="BD50" i="1"/>
  <c r="BD17" i="7" s="1"/>
  <c r="BC50" i="1"/>
  <c r="BC17" i="7" s="1"/>
  <c r="BB50" i="1"/>
  <c r="BB17" i="7" s="1"/>
  <c r="BA50" i="1"/>
  <c r="BA17" i="7" s="1"/>
  <c r="AZ50" i="1"/>
  <c r="AZ17" i="7" s="1"/>
  <c r="AY50" i="1"/>
  <c r="AY17" i="7" s="1"/>
  <c r="AS50" i="1"/>
  <c r="AR50" i="1"/>
  <c r="AR17" i="7" s="1"/>
  <c r="AO50" i="1"/>
  <c r="AO17" i="7" s="1"/>
  <c r="AL50" i="1"/>
  <c r="AL17" i="7" s="1"/>
  <c r="AI50" i="1"/>
  <c r="AI17" i="7" s="1"/>
  <c r="AH50" i="1"/>
  <c r="AH17" i="7" s="1"/>
  <c r="AG50" i="1"/>
  <c r="AG17" i="7" s="1"/>
  <c r="AF50" i="1"/>
  <c r="AF17" i="7" s="1"/>
  <c r="AE50" i="1"/>
  <c r="AE17" i="7" s="1"/>
  <c r="AD50" i="1"/>
  <c r="AD17" i="7" s="1"/>
  <c r="AC50" i="1"/>
  <c r="AC17" i="7" s="1"/>
  <c r="AB50" i="1"/>
  <c r="AB17" i="7" s="1"/>
  <c r="AA50" i="1"/>
  <c r="AA17" i="7" s="1"/>
  <c r="Z50" i="1"/>
  <c r="Z17" i="7" s="1"/>
  <c r="Y50" i="1"/>
  <c r="Y17" i="7" s="1"/>
  <c r="X50" i="1"/>
  <c r="X17" i="7" s="1"/>
  <c r="W50" i="1"/>
  <c r="W17" i="7" s="1"/>
  <c r="V50" i="1"/>
  <c r="V17" i="7" s="1"/>
  <c r="U50" i="1"/>
  <c r="U17" i="7" s="1"/>
  <c r="T50" i="1"/>
  <c r="T17" i="7" s="1"/>
  <c r="S50" i="1"/>
  <c r="S17" i="7" s="1"/>
  <c r="R50" i="1"/>
  <c r="R17" i="7" s="1"/>
  <c r="Q50" i="1"/>
  <c r="Q17" i="7" s="1"/>
  <c r="P50" i="1"/>
  <c r="P17" i="7" s="1"/>
  <c r="O50" i="1"/>
  <c r="O17" i="7" s="1"/>
  <c r="N50" i="1"/>
  <c r="N17" i="7" s="1"/>
  <c r="M50" i="1"/>
  <c r="M17" i="7" s="1"/>
  <c r="L50" i="1"/>
  <c r="L17" i="7" s="1"/>
  <c r="K50" i="1"/>
  <c r="K17" i="7" s="1"/>
  <c r="J50" i="1"/>
  <c r="J17" i="7" s="1"/>
  <c r="I50" i="1"/>
  <c r="I17" i="7" s="1"/>
  <c r="H50" i="1"/>
  <c r="H17" i="7" s="1"/>
  <c r="G50" i="1"/>
  <c r="G17" i="7" s="1"/>
  <c r="F50" i="1"/>
  <c r="F17" i="7" s="1"/>
  <c r="E50" i="1"/>
  <c r="E17" i="7" s="1"/>
  <c r="CY47" i="1"/>
  <c r="CY14" i="7" s="1"/>
  <c r="CX47" i="1"/>
  <c r="CX14" i="7" s="1"/>
  <c r="CW47" i="1"/>
  <c r="CW14" i="7" s="1"/>
  <c r="CV47" i="1"/>
  <c r="CV14" i="7" s="1"/>
  <c r="CU47" i="1"/>
  <c r="CU14" i="7" s="1"/>
  <c r="CS47" i="1"/>
  <c r="CS14" i="7" s="1"/>
  <c r="CR47" i="1"/>
  <c r="CR14" i="7" s="1"/>
  <c r="CQ47" i="1"/>
  <c r="CQ14" i="7" s="1"/>
  <c r="CP47" i="1"/>
  <c r="CP14" i="7" s="1"/>
  <c r="CM47" i="1"/>
  <c r="CM14" i="7" s="1"/>
  <c r="CL47" i="1"/>
  <c r="CL14" i="7" s="1"/>
  <c r="CK47" i="1"/>
  <c r="CK14" i="7" s="1"/>
  <c r="CJ47" i="1"/>
  <c r="CJ14" i="7" s="1"/>
  <c r="CI47" i="1"/>
  <c r="CI14" i="7" s="1"/>
  <c r="CH47" i="1"/>
  <c r="CH14" i="7" s="1"/>
  <c r="CG47" i="1"/>
  <c r="CG14" i="7" s="1"/>
  <c r="CF47" i="1"/>
  <c r="CF14" i="7" s="1"/>
  <c r="CE47" i="1"/>
  <c r="CE14" i="7" s="1"/>
  <c r="CD47" i="1"/>
  <c r="CD14" i="7" s="1"/>
  <c r="CC47" i="1"/>
  <c r="CC14" i="7" s="1"/>
  <c r="CB47" i="1"/>
  <c r="CB14" i="7" s="1"/>
  <c r="CA47" i="1"/>
  <c r="CA14" i="7" s="1"/>
  <c r="BZ47" i="1"/>
  <c r="BZ14" i="7" s="1"/>
  <c r="BY47" i="1"/>
  <c r="BY14" i="7" s="1"/>
  <c r="BX47" i="1"/>
  <c r="BX14" i="7" s="1"/>
  <c r="BW47" i="1"/>
  <c r="BW14" i="7" s="1"/>
  <c r="BV47" i="1"/>
  <c r="BV14" i="7" s="1"/>
  <c r="BU47" i="1"/>
  <c r="BU14" i="7" s="1"/>
  <c r="BT47" i="1"/>
  <c r="BT14" i="7" s="1"/>
  <c r="BS47" i="1"/>
  <c r="BS14" i="7" s="1"/>
  <c r="BR47" i="1"/>
  <c r="BR14" i="7" s="1"/>
  <c r="BQ47" i="1"/>
  <c r="BQ14" i="7" s="1"/>
  <c r="BP47" i="1"/>
  <c r="BP14" i="7" s="1"/>
  <c r="BO47" i="1"/>
  <c r="BO14" i="7" s="1"/>
  <c r="BN47" i="1"/>
  <c r="BN14" i="7" s="1"/>
  <c r="BM47" i="1"/>
  <c r="BM14" i="7" s="1"/>
  <c r="BL47" i="1"/>
  <c r="BL14" i="7" s="1"/>
  <c r="BK47" i="1"/>
  <c r="BK14" i="7" s="1"/>
  <c r="BJ47" i="1"/>
  <c r="BJ14" i="7" s="1"/>
  <c r="BI47" i="1"/>
  <c r="BI14" i="7" s="1"/>
  <c r="BH47" i="1"/>
  <c r="BH14" i="7" s="1"/>
  <c r="BG47" i="1"/>
  <c r="BG14" i="7" s="1"/>
  <c r="BF47" i="1"/>
  <c r="BF14" i="7" s="1"/>
  <c r="BE47" i="1"/>
  <c r="BE14" i="7" s="1"/>
  <c r="BD47" i="1"/>
  <c r="BD14" i="7" s="1"/>
  <c r="BC47" i="1"/>
  <c r="BC14" i="7" s="1"/>
  <c r="BB47" i="1"/>
  <c r="BB14" i="7" s="1"/>
  <c r="BA47" i="1"/>
  <c r="BA14" i="7" s="1"/>
  <c r="AZ47" i="1"/>
  <c r="AZ14" i="7" s="1"/>
  <c r="AY47" i="1"/>
  <c r="AY14" i="7" s="1"/>
  <c r="AX47" i="1"/>
  <c r="AX14" i="7" s="1"/>
  <c r="AW47" i="1"/>
  <c r="AW14" i="7" s="1"/>
  <c r="AV47" i="1"/>
  <c r="AV14" i="7" s="1"/>
  <c r="AU47" i="1"/>
  <c r="AU14" i="7" s="1"/>
  <c r="AT47" i="1"/>
  <c r="AT14" i="7" s="1"/>
  <c r="AS47" i="1"/>
  <c r="AS14" i="7" s="1"/>
  <c r="AR47" i="1"/>
  <c r="AR14" i="7" s="1"/>
  <c r="AO47" i="1"/>
  <c r="AO14" i="7" s="1"/>
  <c r="AL47" i="1"/>
  <c r="AK47" i="1"/>
  <c r="AK14" i="7" s="1"/>
  <c r="AJ47" i="1"/>
  <c r="AJ14" i="7" s="1"/>
  <c r="AI47" i="1"/>
  <c r="AI14" i="7" s="1"/>
  <c r="AH47" i="1"/>
  <c r="AG47" i="1"/>
  <c r="AG14" i="7" s="1"/>
  <c r="AF47" i="1"/>
  <c r="AF14" i="7" s="1"/>
  <c r="AE47" i="1"/>
  <c r="AE14" i="7" s="1"/>
  <c r="AD47" i="1"/>
  <c r="AD14" i="7" s="1"/>
  <c r="AC47" i="1"/>
  <c r="AC14" i="7" s="1"/>
  <c r="AB47" i="1"/>
  <c r="AB14" i="7" s="1"/>
  <c r="AA47" i="1"/>
  <c r="Z47" i="1"/>
  <c r="Z14" i="7" s="1"/>
  <c r="Y47" i="1"/>
  <c r="Y14" i="7" s="1"/>
  <c r="X47" i="1"/>
  <c r="X14" i="7" s="1"/>
  <c r="W47" i="1"/>
  <c r="W14" i="7" s="1"/>
  <c r="V47" i="1"/>
  <c r="U47" i="1"/>
  <c r="U14" i="7" s="1"/>
  <c r="T47" i="1"/>
  <c r="T14" i="7" s="1"/>
  <c r="S47" i="1"/>
  <c r="S14" i="7" s="1"/>
  <c r="R47" i="1"/>
  <c r="Q47" i="1"/>
  <c r="Q14" i="7" s="1"/>
  <c r="P47" i="1"/>
  <c r="P14" i="7" s="1"/>
  <c r="O47" i="1"/>
  <c r="O14" i="7" s="1"/>
  <c r="N47" i="1"/>
  <c r="N14" i="7" s="1"/>
  <c r="M47" i="1"/>
  <c r="M14" i="7" s="1"/>
  <c r="L47" i="1"/>
  <c r="L14" i="7" s="1"/>
  <c r="K47" i="1"/>
  <c r="K14" i="7" s="1"/>
  <c r="J47" i="1"/>
  <c r="J14" i="7" s="1"/>
  <c r="I47" i="1"/>
  <c r="I14" i="7" s="1"/>
  <c r="H47" i="1"/>
  <c r="H14" i="7" s="1"/>
  <c r="G47" i="1"/>
  <c r="G14" i="7" s="1"/>
  <c r="F47" i="1"/>
  <c r="F14" i="7" s="1"/>
  <c r="E47" i="1"/>
  <c r="E14" i="7" s="1"/>
  <c r="CZ13" i="7"/>
  <c r="AQ46" i="1"/>
  <c r="AQ13" i="7" s="1"/>
  <c r="N42" i="1"/>
  <c r="N10" i="7" s="1"/>
  <c r="N39" i="1"/>
  <c r="N7" i="7" s="1"/>
  <c r="CK36" i="1"/>
  <c r="CK18" i="8" s="1"/>
  <c r="CK35" i="1"/>
  <c r="CK17" i="8" s="1"/>
  <c r="CK34" i="1"/>
  <c r="CK16" i="8" s="1"/>
  <c r="CY28" i="1"/>
  <c r="CY10" i="8" s="1"/>
  <c r="CX28" i="1"/>
  <c r="CX10" i="8" s="1"/>
  <c r="CW28" i="1"/>
  <c r="CW10" i="8" s="1"/>
  <c r="CV28" i="1"/>
  <c r="CV10" i="8" s="1"/>
  <c r="CU28" i="1"/>
  <c r="CU10" i="8" s="1"/>
  <c r="CT28" i="1"/>
  <c r="CT10" i="8" s="1"/>
  <c r="CS28" i="1"/>
  <c r="CS10" i="8" s="1"/>
  <c r="CR28" i="1"/>
  <c r="CR10" i="8" s="1"/>
  <c r="CQ28" i="1"/>
  <c r="CQ10" i="8" s="1"/>
  <c r="CP28" i="1"/>
  <c r="CP10" i="8" s="1"/>
  <c r="CM28" i="1"/>
  <c r="CM10" i="8" s="1"/>
  <c r="CL28" i="1"/>
  <c r="CL10" i="8" s="1"/>
  <c r="CK28" i="1"/>
  <c r="CK10" i="8" s="1"/>
  <c r="CJ28" i="1"/>
  <c r="CJ10" i="8" s="1"/>
  <c r="CI28" i="1"/>
  <c r="CI10" i="8" s="1"/>
  <c r="CH28" i="1"/>
  <c r="CH10" i="8" s="1"/>
  <c r="CG28" i="1"/>
  <c r="CG10" i="8" s="1"/>
  <c r="CF28" i="1"/>
  <c r="CF10" i="8" s="1"/>
  <c r="CE28" i="1"/>
  <c r="CE10" i="8" s="1"/>
  <c r="CD28" i="1"/>
  <c r="CD10" i="8" s="1"/>
  <c r="CC28" i="1"/>
  <c r="CC10" i="8" s="1"/>
  <c r="CB28" i="1"/>
  <c r="CB10" i="8" s="1"/>
  <c r="CA28" i="1"/>
  <c r="CA10" i="8" s="1"/>
  <c r="BZ28" i="1"/>
  <c r="BZ10" i="8" s="1"/>
  <c r="BY28" i="1"/>
  <c r="BY10" i="8" s="1"/>
  <c r="BX28" i="1"/>
  <c r="BX10" i="8" s="1"/>
  <c r="BW28" i="1"/>
  <c r="BW10" i="8" s="1"/>
  <c r="BV28" i="1"/>
  <c r="BV10" i="8" s="1"/>
  <c r="BU28" i="1"/>
  <c r="BU10" i="8" s="1"/>
  <c r="BT28" i="1"/>
  <c r="BT10" i="8" s="1"/>
  <c r="BS28" i="1"/>
  <c r="BS10" i="8" s="1"/>
  <c r="BR28" i="1"/>
  <c r="BR10" i="8" s="1"/>
  <c r="BQ28" i="1"/>
  <c r="BQ10" i="8" s="1"/>
  <c r="BP28" i="1"/>
  <c r="BP10" i="8" s="1"/>
  <c r="BO28" i="1"/>
  <c r="BO10" i="8" s="1"/>
  <c r="BN28" i="1"/>
  <c r="BN10" i="8" s="1"/>
  <c r="BM28" i="1"/>
  <c r="BM10" i="8" s="1"/>
  <c r="BA28" i="1"/>
  <c r="BA10" i="8" s="1"/>
  <c r="AO28" i="1"/>
  <c r="AO10" i="8" s="1"/>
  <c r="AC28" i="1"/>
  <c r="Q28" i="1"/>
  <c r="CY27" i="1"/>
  <c r="CY9" i="8" s="1"/>
  <c r="CX27" i="1"/>
  <c r="CX9" i="8" s="1"/>
  <c r="CW27" i="1"/>
  <c r="CW9" i="8" s="1"/>
  <c r="CV27" i="1"/>
  <c r="CV9" i="8" s="1"/>
  <c r="CU27" i="1"/>
  <c r="CU9" i="8" s="1"/>
  <c r="CS27" i="1"/>
  <c r="CS9" i="8" s="1"/>
  <c r="CR27" i="1"/>
  <c r="CR9" i="8" s="1"/>
  <c r="CQ27" i="1"/>
  <c r="CQ9" i="8" s="1"/>
  <c r="CP27" i="1"/>
  <c r="CP9" i="8" s="1"/>
  <c r="CM27" i="1"/>
  <c r="CM9" i="8" s="1"/>
  <c r="CL27" i="1"/>
  <c r="CL9" i="8" s="1"/>
  <c r="CK27" i="1"/>
  <c r="CK9" i="8" s="1"/>
  <c r="CJ27" i="1"/>
  <c r="CJ9" i="8" s="1"/>
  <c r="CI27" i="1"/>
  <c r="CI9" i="8" s="1"/>
  <c r="CH27" i="1"/>
  <c r="CH9" i="8" s="1"/>
  <c r="CG27" i="1"/>
  <c r="CG9" i="8" s="1"/>
  <c r="CF27" i="1"/>
  <c r="CF9" i="8" s="1"/>
  <c r="CE27" i="1"/>
  <c r="CE9" i="8" s="1"/>
  <c r="CD27" i="1"/>
  <c r="CD9" i="8" s="1"/>
  <c r="CC27" i="1"/>
  <c r="CC9" i="8" s="1"/>
  <c r="CB27" i="1"/>
  <c r="CB9" i="8" s="1"/>
  <c r="CA27" i="1"/>
  <c r="CA9" i="8" s="1"/>
  <c r="BZ27" i="1"/>
  <c r="BZ9" i="8" s="1"/>
  <c r="BY27" i="1"/>
  <c r="BY9" i="8" s="1"/>
  <c r="BX27" i="1"/>
  <c r="BX9" i="8" s="1"/>
  <c r="BW27" i="1"/>
  <c r="BW9" i="8" s="1"/>
  <c r="BV27" i="1"/>
  <c r="BV9" i="8" s="1"/>
  <c r="BU27" i="1"/>
  <c r="BU9" i="8" s="1"/>
  <c r="BT27" i="1"/>
  <c r="BT9" i="8" s="1"/>
  <c r="BS27" i="1"/>
  <c r="BS9" i="8" s="1"/>
  <c r="BR27" i="1"/>
  <c r="BR9" i="8" s="1"/>
  <c r="BQ27" i="1"/>
  <c r="BQ9" i="8" s="1"/>
  <c r="BP27" i="1"/>
  <c r="BP9" i="8" s="1"/>
  <c r="BO27" i="1"/>
  <c r="BO9" i="8" s="1"/>
  <c r="BN27" i="1"/>
  <c r="BN9" i="8" s="1"/>
  <c r="BM27" i="1"/>
  <c r="BM9" i="8" s="1"/>
  <c r="BL27" i="1"/>
  <c r="BL9" i="8" s="1"/>
  <c r="BK27" i="1"/>
  <c r="BK9" i="8" s="1"/>
  <c r="BJ27" i="1"/>
  <c r="BJ9" i="8" s="1"/>
  <c r="BI27" i="1"/>
  <c r="BI9" i="8" s="1"/>
  <c r="BH27" i="1"/>
  <c r="BH9" i="8" s="1"/>
  <c r="BG27" i="1"/>
  <c r="BG9" i="8" s="1"/>
  <c r="BF27" i="1"/>
  <c r="BF9" i="8" s="1"/>
  <c r="BE27" i="1"/>
  <c r="BE9" i="8" s="1"/>
  <c r="BD27" i="1"/>
  <c r="BD9" i="8" s="1"/>
  <c r="BC27" i="1"/>
  <c r="BC9" i="8" s="1"/>
  <c r="BB27" i="1"/>
  <c r="BB9" i="8" s="1"/>
  <c r="BA27" i="1"/>
  <c r="BA9" i="8" s="1"/>
  <c r="AZ27" i="1"/>
  <c r="AZ9" i="8" s="1"/>
  <c r="AY27" i="1"/>
  <c r="AY9" i="8" s="1"/>
  <c r="AX27" i="1"/>
  <c r="AX9" i="8" s="1"/>
  <c r="AW27" i="1"/>
  <c r="AW9" i="8" s="1"/>
  <c r="AV27" i="1"/>
  <c r="AV9" i="8" s="1"/>
  <c r="AU27" i="1"/>
  <c r="AU9" i="8" s="1"/>
  <c r="AT27" i="1"/>
  <c r="AT9" i="8" s="1"/>
  <c r="AS27" i="1"/>
  <c r="AS9" i="8" s="1"/>
  <c r="AR27" i="1"/>
  <c r="AR9" i="8" s="1"/>
  <c r="AQ27" i="1"/>
  <c r="AQ9" i="8" s="1"/>
  <c r="AP27" i="1"/>
  <c r="AP9" i="8" s="1"/>
  <c r="AO27" i="1"/>
  <c r="AO9" i="8" s="1"/>
  <c r="AN27" i="1"/>
  <c r="AN9" i="8" s="1"/>
  <c r="AM27" i="1"/>
  <c r="AM9" i="8" s="1"/>
  <c r="AL27" i="1"/>
  <c r="AL9" i="8" s="1"/>
  <c r="AK27" i="1"/>
  <c r="AK9" i="8" s="1"/>
  <c r="AJ27" i="1"/>
  <c r="AJ9" i="8" s="1"/>
  <c r="AI27" i="1"/>
  <c r="AI9" i="8" s="1"/>
  <c r="AH27" i="1"/>
  <c r="AH9" i="8" s="1"/>
  <c r="AG27" i="1"/>
  <c r="AG9" i="8" s="1"/>
  <c r="AF27" i="1"/>
  <c r="AF9" i="8" s="1"/>
  <c r="AE27" i="1"/>
  <c r="AE9" i="8" s="1"/>
  <c r="AD27" i="1"/>
  <c r="AD9" i="8" s="1"/>
  <c r="AC27" i="1"/>
  <c r="AC9" i="8" s="1"/>
  <c r="AB27" i="1"/>
  <c r="AB9" i="8" s="1"/>
  <c r="AA27" i="1"/>
  <c r="AA9" i="8" s="1"/>
  <c r="Z27" i="1"/>
  <c r="Z9" i="8" s="1"/>
  <c r="Y27" i="1"/>
  <c r="Y9" i="8" s="1"/>
  <c r="X27" i="1"/>
  <c r="X9" i="8" s="1"/>
  <c r="W27" i="1"/>
  <c r="W9" i="8" s="1"/>
  <c r="V27" i="1"/>
  <c r="V9" i="8" s="1"/>
  <c r="U27" i="1"/>
  <c r="U9" i="8" s="1"/>
  <c r="CY26" i="1"/>
  <c r="CY8" i="8" s="1"/>
  <c r="CX26" i="1"/>
  <c r="CX8" i="8" s="1"/>
  <c r="CW26" i="1"/>
  <c r="CW8" i="8" s="1"/>
  <c r="CV26" i="1"/>
  <c r="CV8" i="8" s="1"/>
  <c r="CU26" i="1"/>
  <c r="CU8" i="8" s="1"/>
  <c r="CS26" i="1"/>
  <c r="CS8" i="8" s="1"/>
  <c r="CR26" i="1"/>
  <c r="CR8" i="8" s="1"/>
  <c r="CQ26" i="1"/>
  <c r="CQ8" i="8" s="1"/>
  <c r="CP26" i="1"/>
  <c r="CP8" i="8" s="1"/>
  <c r="CM26" i="1"/>
  <c r="CM8" i="8" s="1"/>
  <c r="CL26" i="1"/>
  <c r="CL8" i="8" s="1"/>
  <c r="CK26" i="1"/>
  <c r="CK8" i="8" s="1"/>
  <c r="CJ26" i="1"/>
  <c r="CJ8" i="8" s="1"/>
  <c r="CI26" i="1"/>
  <c r="CI8" i="8" s="1"/>
  <c r="CH26" i="1"/>
  <c r="CH8" i="8" s="1"/>
  <c r="CG26" i="1"/>
  <c r="CG8" i="8" s="1"/>
  <c r="CF26" i="1"/>
  <c r="CF8" i="8" s="1"/>
  <c r="CE26" i="1"/>
  <c r="CE8" i="8" s="1"/>
  <c r="CD26" i="1"/>
  <c r="CD8" i="8" s="1"/>
  <c r="CC26" i="1"/>
  <c r="CC8" i="8" s="1"/>
  <c r="CB26" i="1"/>
  <c r="CB8" i="8" s="1"/>
  <c r="CA26" i="1"/>
  <c r="CA8" i="8" s="1"/>
  <c r="BZ26" i="1"/>
  <c r="BZ8" i="8" s="1"/>
  <c r="BY26" i="1"/>
  <c r="BY8" i="8" s="1"/>
  <c r="BX26" i="1"/>
  <c r="BX8" i="8" s="1"/>
  <c r="BW26" i="1"/>
  <c r="BW8" i="8" s="1"/>
  <c r="BV26" i="1"/>
  <c r="BV8" i="8" s="1"/>
  <c r="BU26" i="1"/>
  <c r="BU8" i="8" s="1"/>
  <c r="BT26" i="1"/>
  <c r="BT8" i="8" s="1"/>
  <c r="BS26" i="1"/>
  <c r="BS8" i="8" s="1"/>
  <c r="BR26" i="1"/>
  <c r="BR8" i="8" s="1"/>
  <c r="BQ26" i="1"/>
  <c r="BQ8" i="8" s="1"/>
  <c r="BP26" i="1"/>
  <c r="BP8" i="8" s="1"/>
  <c r="BO26" i="1"/>
  <c r="BO8" i="8" s="1"/>
  <c r="BN26" i="1"/>
  <c r="BN8" i="8" s="1"/>
  <c r="BM26" i="1"/>
  <c r="BM8" i="8" s="1"/>
  <c r="BL26" i="1"/>
  <c r="BL8" i="8" s="1"/>
  <c r="BK26" i="1"/>
  <c r="BK8" i="8" s="1"/>
  <c r="BJ26" i="1"/>
  <c r="BJ8" i="8" s="1"/>
  <c r="BI26" i="1"/>
  <c r="BI8" i="8" s="1"/>
  <c r="BH26" i="1"/>
  <c r="BH8" i="8" s="1"/>
  <c r="BG26" i="1"/>
  <c r="BG8" i="8" s="1"/>
  <c r="BF26" i="1"/>
  <c r="BF8" i="8" s="1"/>
  <c r="BE26" i="1"/>
  <c r="BE8" i="8" s="1"/>
  <c r="BD26" i="1"/>
  <c r="BD8" i="8" s="1"/>
  <c r="BC26" i="1"/>
  <c r="BC8" i="8" s="1"/>
  <c r="BB26" i="1"/>
  <c r="BB8" i="8" s="1"/>
  <c r="BA26" i="1"/>
  <c r="BA8" i="8" s="1"/>
  <c r="AZ26" i="1"/>
  <c r="AZ8" i="8" s="1"/>
  <c r="AY26" i="1"/>
  <c r="AY8" i="8" s="1"/>
  <c r="AX26" i="1"/>
  <c r="AX8" i="8" s="1"/>
  <c r="AW26" i="1"/>
  <c r="AW8" i="8" s="1"/>
  <c r="AV26" i="1"/>
  <c r="AV8" i="8" s="1"/>
  <c r="AU26" i="1"/>
  <c r="AU8" i="8" s="1"/>
  <c r="AT26" i="1"/>
  <c r="AT8" i="8" s="1"/>
  <c r="AS26" i="1"/>
  <c r="AS8" i="8" s="1"/>
  <c r="AR26" i="1"/>
  <c r="AR8" i="8" s="1"/>
  <c r="AQ26" i="1"/>
  <c r="AQ8" i="8" s="1"/>
  <c r="AP26" i="1"/>
  <c r="AP8" i="8" s="1"/>
  <c r="AO26" i="1"/>
  <c r="AO8" i="8" s="1"/>
  <c r="AN26" i="1"/>
  <c r="AN8" i="8" s="1"/>
  <c r="AM26" i="1"/>
  <c r="AM8" i="8" s="1"/>
  <c r="AL26" i="1"/>
  <c r="AL8" i="8" s="1"/>
  <c r="AK26" i="1"/>
  <c r="AK8" i="8" s="1"/>
  <c r="AJ26" i="1"/>
  <c r="AJ8" i="8" s="1"/>
  <c r="AI26" i="1"/>
  <c r="AI8" i="8" s="1"/>
  <c r="AH26" i="1"/>
  <c r="AH8" i="8" s="1"/>
  <c r="AG26" i="1"/>
  <c r="AG8" i="8" s="1"/>
  <c r="AF26" i="1"/>
  <c r="AF8" i="8" s="1"/>
  <c r="AE26" i="1"/>
  <c r="AE8" i="8" s="1"/>
  <c r="AD26" i="1"/>
  <c r="AD8" i="8" s="1"/>
  <c r="AC26" i="1"/>
  <c r="AC8" i="8" s="1"/>
  <c r="AB26" i="1"/>
  <c r="AB8" i="8" s="1"/>
  <c r="AA26" i="1"/>
  <c r="AA8" i="8" s="1"/>
  <c r="Z26" i="1"/>
  <c r="Z8" i="8" s="1"/>
  <c r="Y26" i="1"/>
  <c r="Y8" i="8" s="1"/>
  <c r="X26" i="1"/>
  <c r="X8" i="8" s="1"/>
  <c r="W26" i="1"/>
  <c r="W8" i="8" s="1"/>
  <c r="V26" i="1"/>
  <c r="V8" i="8" s="1"/>
  <c r="U26" i="1"/>
  <c r="U8" i="8" s="1"/>
  <c r="CY25" i="1"/>
  <c r="CY7" i="8" s="1"/>
  <c r="CX25" i="1"/>
  <c r="CX7" i="8" s="1"/>
  <c r="CW25" i="1"/>
  <c r="CW7" i="8" s="1"/>
  <c r="CV25" i="1"/>
  <c r="CV7" i="8" s="1"/>
  <c r="CU25" i="1"/>
  <c r="CU7" i="8" s="1"/>
  <c r="CS25" i="1"/>
  <c r="CS7" i="8" s="1"/>
  <c r="CR25" i="1"/>
  <c r="CR7" i="8" s="1"/>
  <c r="CQ25" i="1"/>
  <c r="CQ7" i="8" s="1"/>
  <c r="CP25" i="1"/>
  <c r="CP7" i="8" s="1"/>
  <c r="CM25" i="1"/>
  <c r="CM7" i="8" s="1"/>
  <c r="CL25" i="1"/>
  <c r="CL7" i="8" s="1"/>
  <c r="CK25" i="1"/>
  <c r="CK7" i="8" s="1"/>
  <c r="CJ25" i="1"/>
  <c r="CJ7" i="8" s="1"/>
  <c r="CI25" i="1"/>
  <c r="CI7" i="8" s="1"/>
  <c r="CH25" i="1"/>
  <c r="CH7" i="8" s="1"/>
  <c r="CG25" i="1"/>
  <c r="CG7" i="8" s="1"/>
  <c r="CF25" i="1"/>
  <c r="CF7" i="8" s="1"/>
  <c r="CE25" i="1"/>
  <c r="CE7" i="8" s="1"/>
  <c r="CD25" i="1"/>
  <c r="CD7" i="8" s="1"/>
  <c r="CC25" i="1"/>
  <c r="CC7" i="8" s="1"/>
  <c r="CB25" i="1"/>
  <c r="CB7" i="8" s="1"/>
  <c r="CA25" i="1"/>
  <c r="CA7" i="8" s="1"/>
  <c r="BZ25" i="1"/>
  <c r="BZ7" i="8" s="1"/>
  <c r="BY25" i="1"/>
  <c r="BY7" i="8" s="1"/>
  <c r="BX25" i="1"/>
  <c r="BX7" i="8" s="1"/>
  <c r="BW25" i="1"/>
  <c r="BW7" i="8" s="1"/>
  <c r="BV25" i="1"/>
  <c r="BV7" i="8" s="1"/>
  <c r="BU25" i="1"/>
  <c r="BU7" i="8" s="1"/>
  <c r="BT25" i="1"/>
  <c r="BT7" i="8" s="1"/>
  <c r="BS25" i="1"/>
  <c r="BS7" i="8" s="1"/>
  <c r="BR25" i="1"/>
  <c r="BR7" i="8" s="1"/>
  <c r="BQ25" i="1"/>
  <c r="BQ7" i="8" s="1"/>
  <c r="BP25" i="1"/>
  <c r="BP7" i="8" s="1"/>
  <c r="BO25" i="1"/>
  <c r="BO7" i="8" s="1"/>
  <c r="BN25" i="1"/>
  <c r="BN7" i="8" s="1"/>
  <c r="BM25" i="1"/>
  <c r="BM7" i="8" s="1"/>
  <c r="BL25" i="1"/>
  <c r="BL7" i="8" s="1"/>
  <c r="BK25" i="1"/>
  <c r="BK7" i="8" s="1"/>
  <c r="BJ25" i="1"/>
  <c r="BJ7" i="8" s="1"/>
  <c r="BI25" i="1"/>
  <c r="BI7" i="8" s="1"/>
  <c r="BH25" i="1"/>
  <c r="BH7" i="8" s="1"/>
  <c r="BG25" i="1"/>
  <c r="BG7" i="8" s="1"/>
  <c r="BF25" i="1"/>
  <c r="BF7" i="8" s="1"/>
  <c r="BE25" i="1"/>
  <c r="BE7" i="8" s="1"/>
  <c r="BD25" i="1"/>
  <c r="BD7" i="8" s="1"/>
  <c r="BC25" i="1"/>
  <c r="BC7" i="8" s="1"/>
  <c r="BB25" i="1"/>
  <c r="BB7" i="8" s="1"/>
  <c r="BA25" i="1"/>
  <c r="BA7" i="8" s="1"/>
  <c r="AZ25" i="1"/>
  <c r="AZ7" i="8" s="1"/>
  <c r="AY25" i="1"/>
  <c r="AY7" i="8" s="1"/>
  <c r="AX25" i="1"/>
  <c r="AX7" i="8" s="1"/>
  <c r="AW25" i="1"/>
  <c r="AW7" i="8" s="1"/>
  <c r="AV25" i="1"/>
  <c r="AV7" i="8" s="1"/>
  <c r="AU25" i="1"/>
  <c r="AU7" i="8" s="1"/>
  <c r="AT25" i="1"/>
  <c r="AT7" i="8" s="1"/>
  <c r="AS25" i="1"/>
  <c r="AS7" i="8" s="1"/>
  <c r="AR25" i="1"/>
  <c r="AR7" i="8" s="1"/>
  <c r="AQ25" i="1"/>
  <c r="AQ7" i="8" s="1"/>
  <c r="AP25" i="1"/>
  <c r="AP7" i="8" s="1"/>
  <c r="AO25" i="1"/>
  <c r="AO7" i="8" s="1"/>
  <c r="AN25" i="1"/>
  <c r="AN7" i="8" s="1"/>
  <c r="AM25" i="1"/>
  <c r="AM7" i="8" s="1"/>
  <c r="AL25" i="1"/>
  <c r="AL7" i="8" s="1"/>
  <c r="AK25" i="1"/>
  <c r="AK7" i="8" s="1"/>
  <c r="AJ25" i="1"/>
  <c r="AJ7" i="8" s="1"/>
  <c r="AI25" i="1"/>
  <c r="AI7" i="8" s="1"/>
  <c r="AH25" i="1"/>
  <c r="AH7" i="8" s="1"/>
  <c r="AG25" i="1"/>
  <c r="AG7" i="8" s="1"/>
  <c r="AF25" i="1"/>
  <c r="AF7" i="8" s="1"/>
  <c r="AE25" i="1"/>
  <c r="AE7" i="8" s="1"/>
  <c r="AD25" i="1"/>
  <c r="AD7" i="8" s="1"/>
  <c r="AC25" i="1"/>
  <c r="AC7" i="8" s="1"/>
  <c r="AB25" i="1"/>
  <c r="AB7" i="8" s="1"/>
  <c r="AA25" i="1"/>
  <c r="AA7" i="8" s="1"/>
  <c r="Z25" i="1"/>
  <c r="Z7" i="8" s="1"/>
  <c r="Y25" i="1"/>
  <c r="Y7" i="8" s="1"/>
  <c r="X25" i="1"/>
  <c r="X7" i="8" s="1"/>
  <c r="W25" i="1"/>
  <c r="W7" i="8" s="1"/>
  <c r="V25" i="1"/>
  <c r="V7" i="8" s="1"/>
  <c r="U25" i="1"/>
  <c r="U7" i="8" s="1"/>
  <c r="CY24" i="1"/>
  <c r="CY6" i="8" s="1"/>
  <c r="CX24" i="1"/>
  <c r="CX6" i="8" s="1"/>
  <c r="CW24" i="1"/>
  <c r="CW6" i="8" s="1"/>
  <c r="CV24" i="1"/>
  <c r="CV6" i="8" s="1"/>
  <c r="CU24" i="1"/>
  <c r="CU6" i="8" s="1"/>
  <c r="CS24" i="1"/>
  <c r="CS6" i="8" s="1"/>
  <c r="CR24" i="1"/>
  <c r="CR6" i="8" s="1"/>
  <c r="CQ24" i="1"/>
  <c r="CQ6" i="8" s="1"/>
  <c r="CP24" i="1"/>
  <c r="CP6" i="8" s="1"/>
  <c r="CM24" i="1"/>
  <c r="CM6" i="8" s="1"/>
  <c r="CL24" i="1"/>
  <c r="CL6" i="8" s="1"/>
  <c r="CK24" i="1"/>
  <c r="CK6" i="8" s="1"/>
  <c r="CJ24" i="1"/>
  <c r="CJ6" i="8" s="1"/>
  <c r="CI24" i="1"/>
  <c r="CI6" i="8" s="1"/>
  <c r="CH24" i="1"/>
  <c r="CH6" i="8" s="1"/>
  <c r="CG24" i="1"/>
  <c r="CG6" i="8" s="1"/>
  <c r="CF24" i="1"/>
  <c r="CF6" i="8" s="1"/>
  <c r="CE24" i="1"/>
  <c r="CE6" i="8" s="1"/>
  <c r="CD24" i="1"/>
  <c r="CD6" i="8" s="1"/>
  <c r="CC24" i="1"/>
  <c r="CC6" i="8" s="1"/>
  <c r="CB24" i="1"/>
  <c r="CB6" i="8" s="1"/>
  <c r="CA24" i="1"/>
  <c r="CA6" i="8" s="1"/>
  <c r="BZ24" i="1"/>
  <c r="BZ6" i="8" s="1"/>
  <c r="BY24" i="1"/>
  <c r="BY6" i="8" s="1"/>
  <c r="BX24" i="1"/>
  <c r="BX6" i="8" s="1"/>
  <c r="BW24" i="1"/>
  <c r="BW6" i="8" s="1"/>
  <c r="BV24" i="1"/>
  <c r="BV6" i="8" s="1"/>
  <c r="BU24" i="1"/>
  <c r="BU6" i="8" s="1"/>
  <c r="BT24" i="1"/>
  <c r="BT6" i="8" s="1"/>
  <c r="BS24" i="1"/>
  <c r="BS6" i="8" s="1"/>
  <c r="BR24" i="1"/>
  <c r="BR6" i="8" s="1"/>
  <c r="BQ24" i="1"/>
  <c r="BQ6" i="8" s="1"/>
  <c r="BP24" i="1"/>
  <c r="BP6" i="8" s="1"/>
  <c r="BO24" i="1"/>
  <c r="BO6" i="8" s="1"/>
  <c r="BN24" i="1"/>
  <c r="BN6" i="8" s="1"/>
  <c r="BM24" i="1"/>
  <c r="BM6" i="8" s="1"/>
  <c r="BL24" i="1"/>
  <c r="BL6" i="8" s="1"/>
  <c r="BK24" i="1"/>
  <c r="BK6" i="8" s="1"/>
  <c r="BJ24" i="1"/>
  <c r="BJ6" i="8" s="1"/>
  <c r="BI24" i="1"/>
  <c r="BI6" i="8" s="1"/>
  <c r="BH24" i="1"/>
  <c r="BH6" i="8" s="1"/>
  <c r="BG24" i="1"/>
  <c r="BG6" i="8" s="1"/>
  <c r="BF24" i="1"/>
  <c r="BF6" i="8" s="1"/>
  <c r="BE24" i="1"/>
  <c r="BE6" i="8" s="1"/>
  <c r="BD24" i="1"/>
  <c r="BD6" i="8" s="1"/>
  <c r="BC24" i="1"/>
  <c r="BC6" i="8" s="1"/>
  <c r="BB24" i="1"/>
  <c r="BB6" i="8" s="1"/>
  <c r="BA24" i="1"/>
  <c r="BA6" i="8" s="1"/>
  <c r="AZ24" i="1"/>
  <c r="AZ6" i="8" s="1"/>
  <c r="AY24" i="1"/>
  <c r="AY6" i="8" s="1"/>
  <c r="AX24" i="1"/>
  <c r="AX6" i="8" s="1"/>
  <c r="AW24" i="1"/>
  <c r="AW6" i="8" s="1"/>
  <c r="AV24" i="1"/>
  <c r="AV6" i="8" s="1"/>
  <c r="AU24" i="1"/>
  <c r="AU6" i="8" s="1"/>
  <c r="AT24" i="1"/>
  <c r="AT6" i="8" s="1"/>
  <c r="AS24" i="1"/>
  <c r="AS6" i="8" s="1"/>
  <c r="AR24" i="1"/>
  <c r="AR6" i="8" s="1"/>
  <c r="AQ24" i="1"/>
  <c r="AQ6" i="8" s="1"/>
  <c r="AP24" i="1"/>
  <c r="AP6" i="8" s="1"/>
  <c r="AO24" i="1"/>
  <c r="AO6" i="8" s="1"/>
  <c r="AN24" i="1"/>
  <c r="AN6" i="8" s="1"/>
  <c r="AM24" i="1"/>
  <c r="AM6" i="8" s="1"/>
  <c r="AL24" i="1"/>
  <c r="AL6" i="8" s="1"/>
  <c r="AK24" i="1"/>
  <c r="AK6" i="8" s="1"/>
  <c r="AJ24" i="1"/>
  <c r="AJ6" i="8" s="1"/>
  <c r="AI24" i="1"/>
  <c r="AI6" i="8" s="1"/>
  <c r="AH24" i="1"/>
  <c r="AH6" i="8" s="1"/>
  <c r="AG24" i="1"/>
  <c r="AG6" i="8" s="1"/>
  <c r="AF24" i="1"/>
  <c r="AF6" i="8" s="1"/>
  <c r="AE24" i="1"/>
  <c r="AE6" i="8" s="1"/>
  <c r="AD24" i="1"/>
  <c r="AD6" i="8" s="1"/>
  <c r="AC24" i="1"/>
  <c r="AC6" i="8" s="1"/>
  <c r="AB24" i="1"/>
  <c r="AB6" i="8" s="1"/>
  <c r="AA24" i="1"/>
  <c r="AA6" i="8" s="1"/>
  <c r="Z24" i="1"/>
  <c r="Z6" i="8" s="1"/>
  <c r="Y24" i="1"/>
  <c r="Y6" i="8" s="1"/>
  <c r="X24" i="1"/>
  <c r="X6" i="8" s="1"/>
  <c r="W24" i="1"/>
  <c r="W6" i="8" s="1"/>
  <c r="V24" i="1"/>
  <c r="V6" i="8" s="1"/>
  <c r="U24" i="1"/>
  <c r="U6" i="8" s="1"/>
  <c r="O23" i="1"/>
  <c r="L23" i="1"/>
  <c r="K23" i="1"/>
  <c r="J23" i="1"/>
  <c r="I23" i="1"/>
  <c r="H23" i="1"/>
  <c r="G23" i="1"/>
  <c r="F23" i="1"/>
  <c r="CZ17" i="1"/>
  <c r="CZ17" i="9" s="1"/>
  <c r="CY17" i="1"/>
  <c r="CY17" i="9" s="1"/>
  <c r="CW17" i="1"/>
  <c r="CW17" i="9" s="1"/>
  <c r="CV17" i="1"/>
  <c r="CV17" i="9" s="1"/>
  <c r="CU17" i="1"/>
  <c r="CU17" i="9" s="1"/>
  <c r="CT17" i="1"/>
  <c r="CT17" i="9" s="1"/>
  <c r="CS17" i="1"/>
  <c r="CS17" i="9" s="1"/>
  <c r="CR17" i="1"/>
  <c r="CR17" i="9" s="1"/>
  <c r="CQ17" i="1"/>
  <c r="CQ17" i="9" s="1"/>
  <c r="CP17" i="1"/>
  <c r="CP17" i="9" s="1"/>
  <c r="CO17" i="1"/>
  <c r="CO17" i="9" s="1"/>
  <c r="CN17" i="1"/>
  <c r="CN17" i="9" s="1"/>
  <c r="CM17" i="1"/>
  <c r="CM17" i="9" s="1"/>
  <c r="CL17" i="1"/>
  <c r="CL17" i="9" s="1"/>
  <c r="CK17" i="1"/>
  <c r="CK17" i="9" s="1"/>
  <c r="CJ17" i="1"/>
  <c r="CJ17" i="9" s="1"/>
  <c r="CI17" i="1"/>
  <c r="CI17" i="9" s="1"/>
  <c r="CH17" i="1"/>
  <c r="CH17" i="9" s="1"/>
  <c r="CG17" i="1"/>
  <c r="CG17" i="9" s="1"/>
  <c r="CF17" i="1"/>
  <c r="CF17" i="9" s="1"/>
  <c r="CE17" i="1"/>
  <c r="CE17" i="9" s="1"/>
  <c r="CD17" i="1"/>
  <c r="CD17" i="9" s="1"/>
  <c r="CC17" i="1"/>
  <c r="CC17" i="9" s="1"/>
  <c r="CB17" i="1"/>
  <c r="CB17" i="9" s="1"/>
  <c r="CA17" i="1"/>
  <c r="CA17" i="9" s="1"/>
  <c r="BZ17" i="1"/>
  <c r="BZ17" i="9" s="1"/>
  <c r="BY17" i="1"/>
  <c r="BY17" i="9" s="1"/>
  <c r="BX17" i="1"/>
  <c r="BX17" i="9" s="1"/>
  <c r="BW17" i="1"/>
  <c r="BW17" i="9" s="1"/>
  <c r="BV17" i="1"/>
  <c r="BV17" i="9" s="1"/>
  <c r="BU17" i="1"/>
  <c r="BU17" i="9" s="1"/>
  <c r="BT17" i="1"/>
  <c r="BT17" i="9" s="1"/>
  <c r="BS17" i="1"/>
  <c r="BS17" i="9" s="1"/>
  <c r="BR17" i="1"/>
  <c r="BR17" i="9" s="1"/>
  <c r="BQ17" i="1"/>
  <c r="BQ17" i="9" s="1"/>
  <c r="BP17" i="1"/>
  <c r="BP17" i="9" s="1"/>
  <c r="BO17" i="1"/>
  <c r="BO17" i="9" s="1"/>
  <c r="BN17" i="1"/>
  <c r="BN17" i="9" s="1"/>
  <c r="BM17" i="1"/>
  <c r="BM17" i="9" s="1"/>
  <c r="BL17" i="1"/>
  <c r="BL17" i="9" s="1"/>
  <c r="BK17" i="1"/>
  <c r="BK17" i="9" s="1"/>
  <c r="BJ17" i="1"/>
  <c r="BJ17" i="9" s="1"/>
  <c r="BI17" i="1"/>
  <c r="BI17" i="9" s="1"/>
  <c r="BH17" i="1"/>
  <c r="BH17" i="9" s="1"/>
  <c r="BG17" i="1"/>
  <c r="BG17" i="9" s="1"/>
  <c r="BF17" i="1"/>
  <c r="BF17" i="9" s="1"/>
  <c r="BE17" i="1"/>
  <c r="BE17" i="9" s="1"/>
  <c r="BD17" i="1"/>
  <c r="BD17" i="9" s="1"/>
  <c r="BC17" i="1"/>
  <c r="BC17" i="9" s="1"/>
  <c r="BB17" i="1"/>
  <c r="BB17" i="9" s="1"/>
  <c r="BA17" i="1"/>
  <c r="BA17" i="9" s="1"/>
  <c r="AZ17" i="1"/>
  <c r="AZ17" i="9" s="1"/>
  <c r="AY17" i="1"/>
  <c r="AY17" i="9" s="1"/>
  <c r="AX17" i="1"/>
  <c r="AX17" i="9" s="1"/>
  <c r="AW17" i="1"/>
  <c r="AW17" i="9" s="1"/>
  <c r="AV17" i="1"/>
  <c r="AV17" i="9" s="1"/>
  <c r="AU17" i="1"/>
  <c r="AU17" i="9" s="1"/>
  <c r="AT17" i="1"/>
  <c r="AT17" i="9" s="1"/>
  <c r="AS17" i="1"/>
  <c r="AS17" i="9" s="1"/>
  <c r="AR17" i="1"/>
  <c r="AR17" i="9" s="1"/>
  <c r="AQ17" i="1"/>
  <c r="AQ17" i="9" s="1"/>
  <c r="AP17" i="1"/>
  <c r="AP17" i="9" s="1"/>
  <c r="AO17" i="1"/>
  <c r="AO17" i="9" s="1"/>
  <c r="AN17" i="1"/>
  <c r="AN17" i="9" s="1"/>
  <c r="AM17" i="1"/>
  <c r="AM17" i="9" s="1"/>
  <c r="AL17" i="1"/>
  <c r="AL17" i="9" s="1"/>
  <c r="AK17" i="1"/>
  <c r="AK17" i="9" s="1"/>
  <c r="AJ17" i="1"/>
  <c r="AJ17" i="9" s="1"/>
  <c r="AI17" i="1"/>
  <c r="AI17" i="9" s="1"/>
  <c r="AH17" i="1"/>
  <c r="AH17" i="9" s="1"/>
  <c r="AG17" i="1"/>
  <c r="AG17" i="9" s="1"/>
  <c r="AF17" i="1"/>
  <c r="AF17" i="9" s="1"/>
  <c r="AE17" i="1"/>
  <c r="AE17" i="9" s="1"/>
  <c r="AD17" i="1"/>
  <c r="AD17" i="9" s="1"/>
  <c r="AC17" i="1"/>
  <c r="AC17" i="9" s="1"/>
  <c r="AB17" i="1"/>
  <c r="AB17" i="9" s="1"/>
  <c r="AA17" i="1"/>
  <c r="AA17" i="9" s="1"/>
  <c r="Z17" i="1"/>
  <c r="Z17" i="9" s="1"/>
  <c r="Y17" i="1"/>
  <c r="Y17" i="9" s="1"/>
  <c r="X17" i="1"/>
  <c r="X17" i="9" s="1"/>
  <c r="W17" i="1"/>
  <c r="W17" i="9" s="1"/>
  <c r="V17" i="1"/>
  <c r="V17" i="9" s="1"/>
  <c r="U17" i="1"/>
  <c r="U17" i="9" s="1"/>
  <c r="T17" i="1"/>
  <c r="T17" i="9" s="1"/>
  <c r="S17" i="1"/>
  <c r="S17" i="9" s="1"/>
  <c r="R17" i="1"/>
  <c r="R17" i="9" s="1"/>
  <c r="Q17" i="1"/>
  <c r="Q17" i="9" s="1"/>
  <c r="P17" i="1"/>
  <c r="P17" i="9" s="1"/>
  <c r="O17" i="1"/>
  <c r="O17" i="9" s="1"/>
  <c r="N17" i="1"/>
  <c r="N17" i="9" s="1"/>
  <c r="M17" i="1"/>
  <c r="M17" i="9" s="1"/>
  <c r="L17" i="1"/>
  <c r="L17" i="9" s="1"/>
  <c r="K17" i="1"/>
  <c r="K17" i="9" s="1"/>
  <c r="J17" i="1"/>
  <c r="J17" i="9" s="1"/>
  <c r="I17" i="1"/>
  <c r="I17" i="9" s="1"/>
  <c r="H17" i="1"/>
  <c r="H17" i="9" s="1"/>
  <c r="G17" i="1"/>
  <c r="G17" i="9" s="1"/>
  <c r="F17" i="1"/>
  <c r="F17" i="9" s="1"/>
  <c r="E17" i="1"/>
  <c r="E17" i="9" s="1"/>
  <c r="CX13" i="9"/>
  <c r="CW13" i="9"/>
  <c r="CM46" i="1" l="1"/>
  <c r="CM13" i="7" s="1"/>
  <c r="AW46" i="1"/>
  <c r="AW13" i="7" s="1"/>
  <c r="AX46" i="1"/>
  <c r="AX13" i="7" s="1"/>
  <c r="CR46" i="1"/>
  <c r="CR13" i="7" s="1"/>
  <c r="O46" i="1"/>
  <c r="O13" i="7" s="1"/>
  <c r="BG46" i="1"/>
  <c r="BG13" i="7" s="1"/>
  <c r="CL46" i="1"/>
  <c r="CL13" i="7" s="1"/>
  <c r="BV46" i="1"/>
  <c r="BV13" i="7" s="1"/>
  <c r="U46" i="1"/>
  <c r="U13" i="7" s="1"/>
  <c r="CH46" i="1"/>
  <c r="CH13" i="7" s="1"/>
  <c r="CW46" i="1"/>
  <c r="CW13" i="7" s="1"/>
  <c r="BY46" i="1"/>
  <c r="BY13" i="7" s="1"/>
  <c r="AT46" i="1"/>
  <c r="AT13" i="7" s="1"/>
  <c r="BQ46" i="1"/>
  <c r="BQ13" i="7" s="1"/>
  <c r="K46" i="1"/>
  <c r="K13" i="7" s="1"/>
  <c r="BF46" i="1"/>
  <c r="BF13" i="7" s="1"/>
  <c r="BR46" i="1"/>
  <c r="BR13" i="7" s="1"/>
  <c r="CD46" i="1"/>
  <c r="CD13" i="7" s="1"/>
  <c r="BN46" i="1"/>
  <c r="BN13" i="7" s="1"/>
  <c r="BW46" i="1"/>
  <c r="BW13" i="7" s="1"/>
  <c r="G46" i="1"/>
  <c r="G13" i="7" s="1"/>
  <c r="BB46" i="1"/>
  <c r="BB13" i="7" s="1"/>
  <c r="H46" i="1"/>
  <c r="H13" i="7" s="1"/>
  <c r="BA46" i="1"/>
  <c r="BA13" i="7" s="1"/>
  <c r="BI46" i="1"/>
  <c r="BI13" i="7" s="1"/>
  <c r="CC46" i="1"/>
  <c r="CC13" i="7" s="1"/>
  <c r="CV46" i="1"/>
  <c r="CV13" i="7" s="1"/>
  <c r="BM46" i="1"/>
  <c r="BM13" i="7" s="1"/>
  <c r="CG46" i="1"/>
  <c r="CG13" i="7" s="1"/>
  <c r="CQ46" i="1"/>
  <c r="CQ13" i="7" s="1"/>
  <c r="T46" i="1"/>
  <c r="T13" i="7" s="1"/>
  <c r="AR46" i="1"/>
  <c r="AR13" i="7" s="1"/>
  <c r="AB46" i="1"/>
  <c r="AB13" i="7" s="1"/>
  <c r="X46" i="1"/>
  <c r="X13" i="7" s="1"/>
  <c r="AV46" i="1"/>
  <c r="AV13" i="7" s="1"/>
  <c r="BK46" i="1"/>
  <c r="BK13" i="7" s="1"/>
  <c r="CA46" i="1"/>
  <c r="CA13" i="7" s="1"/>
  <c r="CS46" i="1"/>
  <c r="CS13" i="7" s="1"/>
  <c r="DN14" i="7"/>
  <c r="DN17" i="9"/>
  <c r="DO17" i="9"/>
  <c r="AF46" i="1"/>
  <c r="AF13" i="7" s="1"/>
  <c r="BC46" i="1"/>
  <c r="BC13" i="7" s="1"/>
  <c r="BS46" i="1"/>
  <c r="BS13" i="7" s="1"/>
  <c r="CI46" i="1"/>
  <c r="CI13" i="7" s="1"/>
  <c r="L46" i="1"/>
  <c r="L13" i="7" s="1"/>
  <c r="W46" i="1"/>
  <c r="W13" i="7" s="1"/>
  <c r="AJ46" i="1"/>
  <c r="AJ13" i="7" s="1"/>
  <c r="AU46" i="1"/>
  <c r="AU13" i="7" s="1"/>
  <c r="AY46" i="1"/>
  <c r="AY13" i="7" s="1"/>
  <c r="BE46" i="1"/>
  <c r="BE13" i="7" s="1"/>
  <c r="BJ46" i="1"/>
  <c r="BJ13" i="7" s="1"/>
  <c r="BO46" i="1"/>
  <c r="BO13" i="7" s="1"/>
  <c r="BU46" i="1"/>
  <c r="BU13" i="7" s="1"/>
  <c r="BZ46" i="1"/>
  <c r="BZ13" i="7" s="1"/>
  <c r="CE46" i="1"/>
  <c r="CE13" i="7" s="1"/>
  <c r="CK46" i="1"/>
  <c r="CK13" i="7" s="1"/>
  <c r="CX46" i="1"/>
  <c r="CX13" i="7" s="1"/>
  <c r="E46" i="1"/>
  <c r="E13" i="7" s="1"/>
  <c r="Y46" i="1"/>
  <c r="Y13" i="7" s="1"/>
  <c r="AG46" i="1"/>
  <c r="AG13" i="7" s="1"/>
  <c r="AZ46" i="1"/>
  <c r="AZ13" i="7" s="1"/>
  <c r="BD46" i="1"/>
  <c r="BD13" i="7" s="1"/>
  <c r="BH46" i="1"/>
  <c r="BH13" i="7" s="1"/>
  <c r="BL46" i="1"/>
  <c r="BL13" i="7" s="1"/>
  <c r="BP46" i="1"/>
  <c r="BP13" i="7" s="1"/>
  <c r="BT46" i="1"/>
  <c r="BT13" i="7" s="1"/>
  <c r="BX46" i="1"/>
  <c r="BX13" i="7" s="1"/>
  <c r="CB46" i="1"/>
  <c r="CB13" i="7" s="1"/>
  <c r="CF46" i="1"/>
  <c r="CF13" i="7" s="1"/>
  <c r="CJ46" i="1"/>
  <c r="CJ13" i="7" s="1"/>
  <c r="CP46" i="1"/>
  <c r="CP13" i="7" s="1"/>
  <c r="CU46" i="1"/>
  <c r="CU13" i="7" s="1"/>
  <c r="CY46" i="1"/>
  <c r="CY13" i="7" s="1"/>
  <c r="M46" i="1"/>
  <c r="M13" i="7" s="1"/>
  <c r="AC46" i="1"/>
  <c r="AC13" i="7" s="1"/>
  <c r="AK46" i="1"/>
  <c r="AK13" i="7" s="1"/>
  <c r="I46" i="1"/>
  <c r="I13" i="7" s="1"/>
  <c r="AO46" i="1"/>
  <c r="AO13" i="7" s="1"/>
  <c r="CX17" i="1"/>
  <c r="CX17" i="9" s="1"/>
  <c r="AA14" i="7"/>
  <c r="AA46" i="1"/>
  <c r="AA13" i="7" s="1"/>
  <c r="AS17" i="7"/>
  <c r="AS46" i="1"/>
  <c r="AS13" i="7" s="1"/>
  <c r="DN6" i="5"/>
  <c r="DO6" i="5"/>
  <c r="CZ6" i="5"/>
  <c r="N38" i="1"/>
  <c r="N6" i="7" s="1"/>
  <c r="F46" i="1"/>
  <c r="F13" i="7" s="1"/>
  <c r="J46" i="1"/>
  <c r="J13" i="7" s="1"/>
  <c r="N46" i="1"/>
  <c r="N13" i="7" s="1"/>
  <c r="AI46" i="1"/>
  <c r="AI13" i="7" s="1"/>
  <c r="S46" i="1"/>
  <c r="S13" i="7" s="1"/>
  <c r="R46" i="1"/>
  <c r="R13" i="7" s="1"/>
  <c r="R14" i="7"/>
  <c r="V14" i="7"/>
  <c r="V46" i="1"/>
  <c r="V13" i="7" s="1"/>
  <c r="AH14" i="7"/>
  <c r="AH46" i="1"/>
  <c r="AH13" i="7" s="1"/>
  <c r="AL14" i="7"/>
  <c r="AL46" i="1"/>
  <c r="AL13" i="7" s="1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M4" i="1" l="1"/>
  <c r="DL4" i="1"/>
  <c r="DK4" i="4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<sst xmlns="http://schemas.openxmlformats.org/spreadsheetml/2006/main" count="439" uniqueCount="250">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</sst>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36" xfId="0" applyNumberFormat="1" applyFont="1" applyFill="1" applyBorder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38" Type="http://schemas.openxmlformats.org/officeDocument/2006/relationships/sharedStrings" Target="sharedStrings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externalLink" Target="externalLinks/externalLink12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26.xml"/><Relationship Id="rId13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129" Type="http://schemas.openxmlformats.org/officeDocument/2006/relationships/externalLink" Target="externalLinks/externalLink121.xml"/><Relationship Id="rId137" Type="http://schemas.openxmlformats.org/officeDocument/2006/relationships/styles" Target="styles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30" Type="http://schemas.openxmlformats.org/officeDocument/2006/relationships/externalLink" Target="externalLinks/externalLink122.xml"/><Relationship Id="rId135" Type="http://schemas.openxmlformats.org/officeDocument/2006/relationships/externalLink" Target="externalLinks/externalLink12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externalLink" Target="externalLinks/externalLink11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131" Type="http://schemas.openxmlformats.org/officeDocument/2006/relationships/externalLink" Target="externalLinks/externalLink123.xml"/><Relationship Id="rId136" Type="http://schemas.openxmlformats.org/officeDocument/2006/relationships/theme" Target="theme/theme1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bril\2017-04-28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Mayo\2017-05-31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Junio\2017-06-3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Julio\2017-07-31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04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11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18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5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8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30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31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Septiembre\2017-09-01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09\diciembre\2009-12-3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0\diciembre\2010-12-31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1\diciembre\2011-12-30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2\diciembre\2012-12-31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3\diciembre\2013-12-31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enero\2014-01-31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febrero\2014-02-2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rzo\2014-03-31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bril\2014-04-30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yo\2014-05-30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nio\2014-06-30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lio\2014-07-31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gosto\2014-08-29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Septiembre\2016-09-30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09\septiembre\2009-09-3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bril\2010-04-3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mayo\2010-05-3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nio\2010-06-3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lio\2010-07-3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gosto\2010-08-3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septiembre\2010-09-3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octubre\2010-10-2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noviembre\2010-11-3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diciembre\2010-12-3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enero\2011-01-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febrero\2011-02-2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rzo\2011-03-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bril\2011-04-2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yo\2011-05-3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nio\2011-06-3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lio\2011-07-2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gosto\2011-08-3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septiembre\2011-09-3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octubre\2011-10-3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noviembre\2011-11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diciembre\2011-12-3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enero\2012-01-3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febrero\2012-02-2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rzo\2012-03-3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yo\2012-05-3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nio\2012-06-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lio\2012-07-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agosto\2012-08-3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septiembre\2012-09-2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octubre\2012-10-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noviembre\2012-11-3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diciembre\2012-12-3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enero\2013-01-3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febrero\2013-02-2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rzo\2013-03-2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bril\2013-04-3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yo\2013-05-3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nio\2013-06-2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lio\2013-07-3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gosto\2013-08-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septiembre\2013-09-3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octubre\2013-10-3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noviembre\2013-11-2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diciembre\2013-12-3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enero\2014-01-3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febrero\2014-02-2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rzo\2014-03-3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bril\2014-04-3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yo\2014-05-3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nio\2014-06-3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lio\2014-07-3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gosto\2014-08-2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septiembre\2014-09-3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octubre\2014-10-3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noviembre\2014-11-2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diciembre\2014-12-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enero\2015-01-3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febrero\2015-02-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rzo\2015-03-3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bril\2015-04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yo\2015-05-2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nio\2015-06-3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lio\2015-07-3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gosto\2015-08-3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septiembre\2015-09-3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octubre\2015-10-3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noviembre\2015-11-3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Diciembre\2015-12-3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Enero\2016-01-2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Febrero\2016-02-2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Mayo\2016-05-3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nio\2016-06-3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lio\2016-07-2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Agosto\2016-08-3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Octubre\2016-10-31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Noviembre\2016-11-30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Diciembre\2016-12-31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31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Febrero\2017-02-24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Marzo\2017-03-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2.1982599999999999</v>
          </cell>
        </row>
        <row r="480">
          <cell r="H480">
            <v>54027.591498366703</v>
          </cell>
        </row>
        <row r="510">
          <cell r="H510">
            <v>-28457.477798470307</v>
          </cell>
        </row>
        <row r="512">
          <cell r="H512">
            <v>-14018.335236645717</v>
          </cell>
        </row>
        <row r="608">
          <cell r="H608">
            <v>7671.5413592549994</v>
          </cell>
        </row>
        <row r="805">
          <cell r="H805">
            <v>-40315.357887400001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2.2037100000000001</v>
          </cell>
        </row>
        <row r="480">
          <cell r="H480">
            <v>56458.957319403678</v>
          </cell>
        </row>
        <row r="510">
          <cell r="H510">
            <v>-30662.131228143819</v>
          </cell>
        </row>
        <row r="512">
          <cell r="H512">
            <v>-14471.898039667671</v>
          </cell>
        </row>
        <row r="608">
          <cell r="H608">
            <v>7386.1557732742003</v>
          </cell>
        </row>
        <row r="805">
          <cell r="H805">
            <v>-39678.108934699994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2.2068099999999999</v>
          </cell>
        </row>
        <row r="480">
          <cell r="H480">
            <v>58887.261795546787</v>
          </cell>
        </row>
        <row r="510">
          <cell r="H510">
            <v>-30269.504639991239</v>
          </cell>
        </row>
        <row r="512">
          <cell r="H512">
            <v>-12802.391873709739</v>
          </cell>
        </row>
        <row r="608">
          <cell r="H608">
            <v>7724.6274949401986</v>
          </cell>
        </row>
        <row r="805">
          <cell r="H805">
            <v>-40427.888099410004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2.2098200000000001</v>
          </cell>
        </row>
        <row r="480">
          <cell r="H480">
            <v>58553.422854152101</v>
          </cell>
        </row>
        <row r="510">
          <cell r="H510">
            <v>-30308.960537278384</v>
          </cell>
        </row>
        <row r="512">
          <cell r="H512">
            <v>-12825.424935390374</v>
          </cell>
        </row>
        <row r="608">
          <cell r="H608">
            <v>7251.4369874847998</v>
          </cell>
        </row>
        <row r="805">
          <cell r="H805">
            <v>-40745.922345410007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2.2102599999999999</v>
          </cell>
        </row>
        <row r="480">
          <cell r="H480">
            <v>60585.434371641983</v>
          </cell>
        </row>
        <row r="510">
          <cell r="H510">
            <v>-29687.671887737513</v>
          </cell>
        </row>
        <row r="512">
          <cell r="H512">
            <v>-10686.770299663071</v>
          </cell>
        </row>
        <row r="608">
          <cell r="H608">
            <v>7220.4230209606003</v>
          </cell>
        </row>
        <row r="805">
          <cell r="H805">
            <v>-41325.289560510006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2.2110699999999999</v>
          </cell>
        </row>
        <row r="480">
          <cell r="H480">
            <v>60413.108369605623</v>
          </cell>
        </row>
        <row r="510">
          <cell r="H510">
            <v>-29890.888548851162</v>
          </cell>
        </row>
        <row r="512">
          <cell r="H512">
            <v>-11199.421095438231</v>
          </cell>
        </row>
        <row r="608">
          <cell r="H608">
            <v>7289.6527326052001</v>
          </cell>
        </row>
        <row r="805">
          <cell r="H805">
            <v>-41526.362898109997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2.2121200000000001</v>
          </cell>
        </row>
        <row r="480">
          <cell r="H480">
            <v>59784.243874124484</v>
          </cell>
        </row>
        <row r="510">
          <cell r="H510">
            <v>-30474.883342817098</v>
          </cell>
        </row>
        <row r="512">
          <cell r="H512">
            <v>-12028.655449990272</v>
          </cell>
        </row>
        <row r="608">
          <cell r="H608">
            <v>7126.7911872231989</v>
          </cell>
        </row>
        <row r="805">
          <cell r="H805">
            <v>-41218.210395410002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2.2131699999999999</v>
          </cell>
        </row>
        <row r="480">
          <cell r="H480">
            <v>58891.75231276454</v>
          </cell>
        </row>
        <row r="510">
          <cell r="H510">
            <v>-30568.643245326457</v>
          </cell>
        </row>
        <row r="512">
          <cell r="H512">
            <v>-12782.195526054535</v>
          </cell>
        </row>
        <row r="608">
          <cell r="H608">
            <v>7126.8448109733999</v>
          </cell>
        </row>
        <row r="805">
          <cell r="H805">
            <v>-40966.954748309996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2.2136200000000001</v>
          </cell>
        </row>
        <row r="480">
          <cell r="H480">
            <v>59339.13359270597</v>
          </cell>
        </row>
        <row r="510">
          <cell r="H510">
            <v>-30636.511749227448</v>
          </cell>
        </row>
        <row r="512">
          <cell r="H512">
            <v>-12254.70482186622</v>
          </cell>
        </row>
        <row r="608">
          <cell r="H608">
            <v>7127.2397977946002</v>
          </cell>
        </row>
        <row r="805">
          <cell r="H805">
            <v>-40959.869937809999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2.2137699999999998</v>
          </cell>
        </row>
        <row r="480">
          <cell r="H480">
            <v>58595.178058172183</v>
          </cell>
        </row>
        <row r="510">
          <cell r="H510">
            <v>-31078.684584191047</v>
          </cell>
        </row>
        <row r="512">
          <cell r="H512">
            <v>-13102.786651295504</v>
          </cell>
        </row>
        <row r="608">
          <cell r="H608">
            <v>7127.2811073896</v>
          </cell>
        </row>
        <row r="805">
          <cell r="H805">
            <v>-40921.763613210001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2.2139199999999999</v>
          </cell>
        </row>
        <row r="480">
          <cell r="H480">
            <v>58573.242351338587</v>
          </cell>
        </row>
        <row r="510">
          <cell r="H510">
            <v>-31082.642830740911</v>
          </cell>
        </row>
        <row r="512">
          <cell r="H512">
            <v>-13096.051294956731</v>
          </cell>
        </row>
        <row r="608">
          <cell r="H608">
            <v>7127.2756491563996</v>
          </cell>
        </row>
        <row r="805">
          <cell r="H805">
            <v>-40867.184950410003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2.21407</v>
          </cell>
        </row>
        <row r="480">
          <cell r="H480">
            <v>59464.875018305596</v>
          </cell>
        </row>
        <row r="510">
          <cell r="H510">
            <v>-30860.724551664298</v>
          </cell>
        </row>
        <row r="512">
          <cell r="H512">
            <v>-12367.107188315655</v>
          </cell>
        </row>
        <row r="608">
          <cell r="H608">
            <v>7451.6532210639998</v>
          </cell>
        </row>
        <row r="805">
          <cell r="H805">
            <v>-40841.309307910007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2.2142300000000001</v>
          </cell>
        </row>
        <row r="480">
          <cell r="H480">
            <v>60840.979659488141</v>
          </cell>
        </row>
        <row r="510">
          <cell r="H510">
            <v>-30698.729696106318</v>
          </cell>
        </row>
        <row r="512">
          <cell r="H512">
            <v>-10260.76266594807</v>
          </cell>
        </row>
        <row r="608">
          <cell r="H608">
            <v>7282.476207213399</v>
          </cell>
        </row>
        <row r="805">
          <cell r="H805">
            <v>-40949.641623110001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74">
          <cell r="H574">
            <v>1700.1077628236003</v>
          </cell>
        </row>
        <row r="731">
          <cell r="H731">
            <v>0.24383946000000001</v>
          </cell>
        </row>
      </sheetData>
      <sheetData sheetId="2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78">
          <cell r="H578">
            <v>-92.696817019999997</v>
          </cell>
        </row>
        <row r="737">
          <cell r="H737">
            <v>-136.40070921</v>
          </cell>
        </row>
      </sheetData>
      <sheetData sheetId="2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88">
          <cell r="H588">
            <v>-21701.00591389733</v>
          </cell>
        </row>
        <row r="747">
          <cell r="H747">
            <v>13.018821619999999</v>
          </cell>
        </row>
      </sheetData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88">
          <cell r="H588">
            <v>-23618.72316683974</v>
          </cell>
        </row>
        <row r="747">
          <cell r="H747">
            <v>12.732875630000001</v>
          </cell>
        </row>
      </sheetData>
      <sheetData sheetId="2"/>
      <sheetData sheetId="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-21991.052165524507</v>
          </cell>
        </row>
        <row r="759">
          <cell r="H759">
            <v>12.876796949999999</v>
          </cell>
        </row>
      </sheetData>
      <sheetData sheetId="2"/>
      <sheetData sheetId="3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-21900.323259415698</v>
          </cell>
        </row>
        <row r="759">
          <cell r="H759">
            <v>0.97572669999999995</v>
          </cell>
        </row>
      </sheetData>
      <sheetData sheetId="2"/>
      <sheetData sheetId="3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-21526.710041651819</v>
          </cell>
        </row>
        <row r="759">
          <cell r="H759">
            <v>1.9548925400000001</v>
          </cell>
        </row>
      </sheetData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-20339.928715470745</v>
          </cell>
        </row>
        <row r="759">
          <cell r="H759">
            <v>2.8824663300000002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-18231.845552791969</v>
          </cell>
        </row>
        <row r="759">
          <cell r="H759">
            <v>3.9301038300000002</v>
          </cell>
        </row>
      </sheetData>
      <sheetData sheetId="2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-16496.19163810289</v>
          </cell>
        </row>
        <row r="759">
          <cell r="H759">
            <v>4.9717303399999997</v>
          </cell>
        </row>
      </sheetData>
      <sheetData sheetId="2"/>
      <sheetData sheetId="3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-17889.864321413577</v>
          </cell>
        </row>
        <row r="761">
          <cell r="H761">
            <v>6.03783197</v>
          </cell>
        </row>
      </sheetData>
      <sheetData sheetId="2"/>
      <sheetData sheetId="3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-15485.911303125698</v>
          </cell>
        </row>
        <row r="761">
          <cell r="H761">
            <v>7.1128379500000003</v>
          </cell>
        </row>
      </sheetData>
      <sheetData sheetId="2"/>
      <sheetData sheetId="3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-16570.952583215374</v>
          </cell>
        </row>
        <row r="761">
          <cell r="H761">
            <v>8.1142587300000013</v>
          </cell>
        </row>
      </sheetData>
      <sheetData sheetId="2"/>
      <sheetData sheetId="3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>
        <row r="474">
          <cell r="H474">
            <v>58538.723864955493</v>
          </cell>
        </row>
        <row r="602">
          <cell r="H602">
            <v>5510.7441179747993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1.5346900000000001</v>
          </cell>
        </row>
      </sheetData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30157.232277248353</v>
          </cell>
        </row>
        <row r="475">
          <cell r="H475">
            <v>-40725.721875145755</v>
          </cell>
        </row>
        <row r="477">
          <cell r="H477">
            <v>-14535.737468911831</v>
          </cell>
        </row>
        <row r="758">
          <cell r="H758">
            <v>-18102.7542961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30403.324394647541</v>
          </cell>
        </row>
        <row r="475">
          <cell r="H475">
            <v>-40337.81012964726</v>
          </cell>
        </row>
        <row r="477">
          <cell r="H477">
            <v>-14921.374404462185</v>
          </cell>
        </row>
        <row r="758">
          <cell r="H758">
            <v>-18598.362352259999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1.5420100000000001</v>
          </cell>
        </row>
        <row r="447">
          <cell r="H447">
            <v>29903.289470033258</v>
          </cell>
        </row>
        <row r="477">
          <cell r="H477">
            <v>-40393.376146655639</v>
          </cell>
        </row>
        <row r="479">
          <cell r="H479">
            <v>-16051.877890473672</v>
          </cell>
        </row>
        <row r="760">
          <cell r="H760">
            <v>-19111.73186009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1.5436099999999999</v>
          </cell>
        </row>
        <row r="447">
          <cell r="H447">
            <v>28898.70055204309</v>
          </cell>
        </row>
        <row r="477">
          <cell r="H477">
            <v>-40786.054479408231</v>
          </cell>
        </row>
        <row r="479">
          <cell r="H479">
            <v>-17451.955823853175</v>
          </cell>
        </row>
        <row r="760">
          <cell r="H760">
            <v>-19273.531734020002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1.5460499999999999</v>
          </cell>
        </row>
        <row r="447">
          <cell r="H447">
            <v>28619.650201445958</v>
          </cell>
        </row>
        <row r="477">
          <cell r="H477">
            <v>-41654.468781513388</v>
          </cell>
        </row>
        <row r="479">
          <cell r="H479">
            <v>-18695.844246511424</v>
          </cell>
        </row>
        <row r="760">
          <cell r="H760">
            <v>-19243.647425389998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1.54915</v>
          </cell>
        </row>
        <row r="450">
          <cell r="H450">
            <v>28656.14215422389</v>
          </cell>
        </row>
        <row r="480">
          <cell r="H480">
            <v>-43763.135008598176</v>
          </cell>
        </row>
        <row r="482">
          <cell r="H482">
            <v>-19622.556781357227</v>
          </cell>
        </row>
        <row r="765">
          <cell r="H765">
            <v>-19374.36654173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1.5527200000000001</v>
          </cell>
        </row>
        <row r="450">
          <cell r="H450">
            <v>28178.482855580798</v>
          </cell>
        </row>
        <row r="480">
          <cell r="H480">
            <v>-44456.948586455765</v>
          </cell>
        </row>
        <row r="482">
          <cell r="H482">
            <v>-20206.230807064483</v>
          </cell>
        </row>
        <row r="765">
          <cell r="H765">
            <v>-19720.61379911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1.5579799999999999</v>
          </cell>
        </row>
        <row r="450">
          <cell r="H450">
            <v>28789.856249272303</v>
          </cell>
        </row>
        <row r="480">
          <cell r="H480">
            <v>-44259.691304114895</v>
          </cell>
        </row>
        <row r="482">
          <cell r="H482">
            <v>-20380.590815921831</v>
          </cell>
        </row>
        <row r="765">
          <cell r="H765">
            <v>-20284.401278249999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1.5645100000000001</v>
          </cell>
        </row>
        <row r="450">
          <cell r="H450">
            <v>32577.475381140739</v>
          </cell>
        </row>
        <row r="480">
          <cell r="H480">
            <v>-42938.181556930314</v>
          </cell>
        </row>
        <row r="482">
          <cell r="H482">
            <v>-19033.717018390915</v>
          </cell>
        </row>
        <row r="765">
          <cell r="H765">
            <v>-24585.622267570001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212">
          <cell r="D212">
            <v>-1567589779.1600001</v>
          </cell>
        </row>
        <row r="450">
          <cell r="H450">
            <v>32958.579074453213</v>
          </cell>
        </row>
        <row r="480">
          <cell r="H480">
            <v>-45901.140750460218</v>
          </cell>
        </row>
        <row r="482">
          <cell r="H482">
            <v>-20395.683250635</v>
          </cell>
        </row>
        <row r="765">
          <cell r="H765">
            <v>-23610.75446086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0">
          <cell r="D450">
            <v>29062.862803370001</v>
          </cell>
          <cell r="H450">
            <v>32753.997521922407</v>
          </cell>
        </row>
        <row r="480">
          <cell r="H480">
            <v>-48312.242030117974</v>
          </cell>
        </row>
        <row r="482">
          <cell r="H482">
            <v>-21398.482908853341</v>
          </cell>
        </row>
        <row r="765">
          <cell r="H765">
            <v>-23358.59828613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28891.87267135</v>
          </cell>
          <cell r="H458">
            <v>33318.498855925034</v>
          </cell>
        </row>
        <row r="488">
          <cell r="H488">
            <v>-49213.248066820343</v>
          </cell>
        </row>
        <row r="490">
          <cell r="H490">
            <v>-20515.376437737094</v>
          </cell>
        </row>
        <row r="773">
          <cell r="H773">
            <v>-23139.315299330003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26872.315427790003</v>
          </cell>
          <cell r="H458">
            <v>30179.544053439462</v>
          </cell>
        </row>
        <row r="488">
          <cell r="H488">
            <v>-50678.862959427162</v>
          </cell>
        </row>
        <row r="490">
          <cell r="H490">
            <v>-22720.668638767067</v>
          </cell>
        </row>
        <row r="773">
          <cell r="H773">
            <v>-23402.080371930002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26646.631361290001</v>
          </cell>
          <cell r="H458">
            <v>29387.94146173272</v>
          </cell>
        </row>
        <row r="488">
          <cell r="H488">
            <v>-49812.623303278691</v>
          </cell>
        </row>
        <row r="490">
          <cell r="H490">
            <v>-24039.985288323489</v>
          </cell>
        </row>
        <row r="773">
          <cell r="H773">
            <v>-23750.031313169999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28376.346609470002</v>
          </cell>
          <cell r="H458">
            <v>31157.768917289424</v>
          </cell>
        </row>
        <row r="488">
          <cell r="H488">
            <v>-49325.781787705811</v>
          </cell>
        </row>
        <row r="490">
          <cell r="H490">
            <v>-23153.205909382435</v>
          </cell>
        </row>
        <row r="773">
          <cell r="H773">
            <v>-24643.468506500001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28959.111120959999</v>
          </cell>
          <cell r="H458">
            <v>31437.502481094012</v>
          </cell>
        </row>
        <row r="488">
          <cell r="H488">
            <v>-50765.833533730947</v>
          </cell>
        </row>
        <row r="490">
          <cell r="H490">
            <v>-24583.659881486485</v>
          </cell>
        </row>
        <row r="773">
          <cell r="H773">
            <v>-25057.120629689998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29941.81181829</v>
          </cell>
          <cell r="H460">
            <v>32635.139769102381</v>
          </cell>
        </row>
        <row r="490">
          <cell r="H490">
            <v>-54535.029617007371</v>
          </cell>
        </row>
        <row r="492">
          <cell r="H492">
            <v>-25793.166578529057</v>
          </cell>
        </row>
        <row r="775">
          <cell r="H775">
            <v>-25377.25269935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31185.975438590001</v>
          </cell>
          <cell r="H460">
            <v>34320.068200088397</v>
          </cell>
        </row>
        <row r="490">
          <cell r="H490">
            <v>-52669.107745117784</v>
          </cell>
        </row>
        <row r="492">
          <cell r="H492">
            <v>-26182.201187179729</v>
          </cell>
        </row>
        <row r="775">
          <cell r="H775">
            <v>-25704.845640889998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31981.555524809999</v>
          </cell>
          <cell r="H460">
            <v>35375.422907394481</v>
          </cell>
        </row>
        <row r="490">
          <cell r="H490">
            <v>-55701.044226470614</v>
          </cell>
        </row>
        <row r="492">
          <cell r="H492">
            <v>-26496.70745701719</v>
          </cell>
        </row>
        <row r="775">
          <cell r="H775">
            <v>-26070.208207840002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33933.773443439997</v>
          </cell>
          <cell r="H460">
            <v>37694.737930022849</v>
          </cell>
        </row>
        <row r="490">
          <cell r="H490">
            <v>-56751.641763571315</v>
          </cell>
        </row>
        <row r="492">
          <cell r="H492">
            <v>-25953.885438716748</v>
          </cell>
        </row>
        <row r="775">
          <cell r="H775">
            <v>-26355.467033959998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38031.777699390004</v>
          </cell>
          <cell r="H460">
            <v>41768.10404689797</v>
          </cell>
        </row>
        <row r="490">
          <cell r="H490">
            <v>-53862.153016766635</v>
          </cell>
        </row>
        <row r="492">
          <cell r="H492">
            <v>-23173.066224700859</v>
          </cell>
        </row>
        <row r="775">
          <cell r="H775">
            <v>-28585.08716164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35625.251549960005</v>
          </cell>
          <cell r="H460">
            <v>39518.452970210099</v>
          </cell>
        </row>
        <row r="490">
          <cell r="H490">
            <v>-57769.8499961743</v>
          </cell>
        </row>
        <row r="492">
          <cell r="H492">
            <v>-26541.033333331314</v>
          </cell>
        </row>
        <row r="775">
          <cell r="H775">
            <v>-27904.261643500002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35424.013154560002</v>
          </cell>
          <cell r="H460">
            <v>39171.409393767935</v>
          </cell>
        </row>
        <row r="490">
          <cell r="H490">
            <v>-59738.430211019026</v>
          </cell>
        </row>
        <row r="492">
          <cell r="H492">
            <v>-27446.881256662626</v>
          </cell>
        </row>
        <row r="775">
          <cell r="H775">
            <v>-27651.922542569999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35358.336357619999</v>
          </cell>
          <cell r="H460">
            <v>39703.293302109952</v>
          </cell>
        </row>
        <row r="490">
          <cell r="H490">
            <v>-60223.761023498584</v>
          </cell>
        </row>
        <row r="492">
          <cell r="H492">
            <v>-27543.760398590322</v>
          </cell>
        </row>
        <row r="775">
          <cell r="H775">
            <v>-27218.263037979999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34019.670451220001</v>
          </cell>
          <cell r="H460">
            <v>36725.834415524267</v>
          </cell>
        </row>
        <row r="490">
          <cell r="H490">
            <v>-57693.920501219334</v>
          </cell>
        </row>
        <row r="492">
          <cell r="H492">
            <v>-29605.296675278201</v>
          </cell>
        </row>
        <row r="775">
          <cell r="H775">
            <v>-27520.15649094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35042.420395330002</v>
          </cell>
          <cell r="H460">
            <v>37503.828244931763</v>
          </cell>
        </row>
        <row r="490">
          <cell r="H490">
            <v>-56975.733137620555</v>
          </cell>
        </row>
        <row r="492">
          <cell r="H492">
            <v>-29131.072663441082</v>
          </cell>
        </row>
        <row r="775">
          <cell r="H775">
            <v>-28361.012891549999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1.7689299999999999</v>
          </cell>
        </row>
        <row r="460">
          <cell r="H460">
            <v>36976.145654643202</v>
          </cell>
        </row>
        <row r="490">
          <cell r="H490">
            <v>-58945.687472738617</v>
          </cell>
        </row>
        <row r="492">
          <cell r="H492">
            <v>-31072.632851696399</v>
          </cell>
        </row>
        <row r="775">
          <cell r="H775">
            <v>-28505.503548820001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1.7752600000000001</v>
          </cell>
        </row>
        <row r="460">
          <cell r="H460">
            <v>37915.235268250122</v>
          </cell>
        </row>
        <row r="490">
          <cell r="H490">
            <v>-61032.358741471253</v>
          </cell>
        </row>
        <row r="492">
          <cell r="H492">
            <v>-32641.457819049901</v>
          </cell>
        </row>
        <row r="775">
          <cell r="H775">
            <v>-28584.619925939998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1.7811399999999999</v>
          </cell>
        </row>
        <row r="460">
          <cell r="H460">
            <v>39808.812685307246</v>
          </cell>
        </row>
        <row r="490">
          <cell r="H490">
            <v>-63022.789226928377</v>
          </cell>
        </row>
        <row r="492">
          <cell r="H492">
            <v>-31624.133640066389</v>
          </cell>
        </row>
        <row r="775">
          <cell r="H775">
            <v>-29033.313723990002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35931.645569280008</v>
          </cell>
          <cell r="H460">
            <v>39897.674000118262</v>
          </cell>
        </row>
        <row r="490">
          <cell r="H490">
            <v>-64938.716468228835</v>
          </cell>
        </row>
        <row r="492">
          <cell r="H492">
            <v>-35032.5816729574</v>
          </cell>
        </row>
        <row r="775">
          <cell r="H775">
            <v>-29535.500998900003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1.79437</v>
          </cell>
        </row>
        <row r="460">
          <cell r="H460">
            <v>42290.00662329363</v>
          </cell>
        </row>
        <row r="490">
          <cell r="H490">
            <v>-65398.945782221133</v>
          </cell>
        </row>
        <row r="492">
          <cell r="H492">
            <v>-34484.140394999115</v>
          </cell>
        </row>
        <row r="775">
          <cell r="H775">
            <v>-30131.992337290001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1.80078</v>
          </cell>
        </row>
        <row r="460">
          <cell r="H460">
            <v>48670.600375916838</v>
          </cell>
        </row>
        <row r="490">
          <cell r="H490">
            <v>-62872.216313078694</v>
          </cell>
        </row>
        <row r="492">
          <cell r="H492">
            <v>-29315.840023017481</v>
          </cell>
        </row>
        <row r="775">
          <cell r="H775">
            <v>-32665.086160450002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1.8075000000000001</v>
          </cell>
        </row>
        <row r="460">
          <cell r="H460">
            <v>45853.153171793674</v>
          </cell>
        </row>
        <row r="490">
          <cell r="H490">
            <v>-64550.757844114705</v>
          </cell>
        </row>
        <row r="492">
          <cell r="H492">
            <v>-31541.942415822032</v>
          </cell>
        </row>
        <row r="775">
          <cell r="H775">
            <v>-31825.354411959997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1.8145800000000001</v>
          </cell>
        </row>
        <row r="460">
          <cell r="H460">
            <v>45106.01534060634</v>
          </cell>
        </row>
        <row r="490">
          <cell r="H490">
            <v>-65624.384177470201</v>
          </cell>
        </row>
        <row r="492">
          <cell r="H492">
            <v>-33255.567901084709</v>
          </cell>
        </row>
        <row r="775">
          <cell r="H775">
            <v>-31105.858646380002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43142.448600577838</v>
          </cell>
        </row>
        <row r="490">
          <cell r="H490">
            <v>-66525.27326386956</v>
          </cell>
        </row>
        <row r="492">
          <cell r="H492">
            <v>-34246.472273750573</v>
          </cell>
        </row>
        <row r="775">
          <cell r="H775">
            <v>-30802.19048116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41892.660601382173</v>
          </cell>
        </row>
        <row r="490">
          <cell r="H490">
            <v>-66625.615153915016</v>
          </cell>
        </row>
        <row r="492">
          <cell r="H492">
            <v>-36347.891468227179</v>
          </cell>
        </row>
        <row r="775">
          <cell r="H775">
            <v>-30829.345512419997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1">
          <cell r="H461">
            <v>41468.493126136476</v>
          </cell>
        </row>
        <row r="491">
          <cell r="H491">
            <v>-64879.032880982537</v>
          </cell>
        </row>
        <row r="493">
          <cell r="H493">
            <v>-36985.8815015625</v>
          </cell>
        </row>
        <row r="776">
          <cell r="H776">
            <v>-31213.30397026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2">
          <cell r="D462">
            <v>39259.489859399997</v>
          </cell>
          <cell r="H462">
            <v>43314.165693718947</v>
          </cell>
        </row>
        <row r="492">
          <cell r="H492">
            <v>-64067.514772103619</v>
          </cell>
        </row>
        <row r="494">
          <cell r="H494">
            <v>-35653.62847587213</v>
          </cell>
        </row>
        <row r="778">
          <cell r="H778">
            <v>-31641.167205549998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1.8512900000000001</v>
          </cell>
        </row>
        <row r="462">
          <cell r="H462">
            <v>42593.305946749912</v>
          </cell>
        </row>
        <row r="492">
          <cell r="H492">
            <v>-66282.880942301694</v>
          </cell>
        </row>
        <row r="494">
          <cell r="H494">
            <v>-37909.190004581549</v>
          </cell>
        </row>
        <row r="778">
          <cell r="H778">
            <v>-31888.061633040001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1.85859</v>
          </cell>
        </row>
        <row r="462">
          <cell r="H462">
            <v>43705.429036464229</v>
          </cell>
        </row>
        <row r="492">
          <cell r="H492">
            <v>-66834.390144024423</v>
          </cell>
        </row>
        <row r="494">
          <cell r="H494">
            <v>-41299.918654736801</v>
          </cell>
        </row>
        <row r="778">
          <cell r="H778">
            <v>-31958.471105610002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1.86754</v>
          </cell>
        </row>
        <row r="465">
          <cell r="H465">
            <v>44527.373373869792</v>
          </cell>
        </row>
        <row r="495">
          <cell r="H495">
            <v>-67257.32114892808</v>
          </cell>
        </row>
        <row r="497">
          <cell r="H497">
            <v>-41345.434098601705</v>
          </cell>
        </row>
        <row r="785">
          <cell r="H785">
            <v>-32333.088900520001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5">
          <cell r="H465">
            <v>0.92446136474609375</v>
          </cell>
        </row>
        <row r="467">
          <cell r="H467">
            <v>45122.235544590403</v>
          </cell>
        </row>
        <row r="497">
          <cell r="H497">
            <v>-65027.991334582759</v>
          </cell>
        </row>
        <row r="499">
          <cell r="H499">
            <v>-41671.917323780086</v>
          </cell>
        </row>
        <row r="787">
          <cell r="H787">
            <v>-32726.848775180002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1.8887100000000001</v>
          </cell>
        </row>
        <row r="467">
          <cell r="H467">
            <v>45309.288393787479</v>
          </cell>
        </row>
        <row r="497">
          <cell r="H497">
            <v>-64228.712436513662</v>
          </cell>
        </row>
        <row r="499">
          <cell r="H499">
            <v>-41205.002824314797</v>
          </cell>
        </row>
        <row r="787">
          <cell r="H787">
            <v>-33376.52294907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8">
          <cell r="D468">
            <v>47530.298825069993</v>
          </cell>
          <cell r="H468">
            <v>53487.841091198701</v>
          </cell>
        </row>
        <row r="498">
          <cell r="H498">
            <v>-61989.77955595086</v>
          </cell>
        </row>
        <row r="500">
          <cell r="H500">
            <v>-33813.097812691674</v>
          </cell>
        </row>
        <row r="788">
          <cell r="H788">
            <v>-37001.012189349996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1.91005</v>
          </cell>
        </row>
        <row r="468">
          <cell r="H468">
            <v>46502.025808538099</v>
          </cell>
        </row>
        <row r="498">
          <cell r="H498">
            <v>-63694.572215758635</v>
          </cell>
        </row>
        <row r="500">
          <cell r="H500">
            <v>-35379.873657794473</v>
          </cell>
        </row>
        <row r="788">
          <cell r="H788">
            <v>-35908.594242320003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1.91974</v>
          </cell>
        </row>
        <row r="468">
          <cell r="H468">
            <v>44971.025892743819</v>
          </cell>
        </row>
        <row r="498">
          <cell r="H498">
            <v>-64695.313957981081</v>
          </cell>
        </row>
        <row r="500">
          <cell r="H500">
            <v>-35909.120431382136</v>
          </cell>
        </row>
        <row r="788">
          <cell r="H788">
            <v>-35170.474726610002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1.9292499999999999</v>
          </cell>
        </row>
        <row r="468">
          <cell r="H468">
            <v>43583.380129660538</v>
          </cell>
        </row>
        <row r="498">
          <cell r="H498">
            <v>-64896.284958885997</v>
          </cell>
        </row>
        <row r="500">
          <cell r="H500">
            <v>-37354.259685190009</v>
          </cell>
        </row>
        <row r="788">
          <cell r="H788">
            <v>-34508.930251170001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68">
          <cell r="D468">
            <v>41686.117060960001</v>
          </cell>
          <cell r="H468">
            <v>44933.133215966773</v>
          </cell>
        </row>
        <row r="498">
          <cell r="H498">
            <v>-65140.840120823574</v>
          </cell>
        </row>
        <row r="500">
          <cell r="H500">
            <v>-38644.746607878733</v>
          </cell>
        </row>
        <row r="788">
          <cell r="H788">
            <v>-34555.717835570002</v>
          </cell>
        </row>
      </sheetData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1.94835</v>
          </cell>
        </row>
        <row r="468">
          <cell r="H468">
            <v>44710.185835211887</v>
          </cell>
        </row>
        <row r="498">
          <cell r="H498">
            <v>-65115.007822482745</v>
          </cell>
        </row>
        <row r="500">
          <cell r="H500">
            <v>-39922.86813474472</v>
          </cell>
        </row>
        <row r="788">
          <cell r="H788">
            <v>-34634.109018330004</v>
          </cell>
        </row>
      </sheetData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1.9587699999999999</v>
          </cell>
        </row>
        <row r="470">
          <cell r="H470">
            <v>46248.208124989978</v>
          </cell>
        </row>
        <row r="500">
          <cell r="H500">
            <v>-66308.059794521148</v>
          </cell>
        </row>
        <row r="502">
          <cell r="H502">
            <v>-39064.965928607722</v>
          </cell>
        </row>
        <row r="790">
          <cell r="H790">
            <v>-35280.659298040002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1.96984</v>
          </cell>
        </row>
        <row r="470">
          <cell r="H470">
            <v>45999.454656780101</v>
          </cell>
        </row>
        <row r="500">
          <cell r="H500">
            <v>-66686.713396128602</v>
          </cell>
        </row>
        <row r="502">
          <cell r="H502">
            <v>-41939.025653690995</v>
          </cell>
        </row>
        <row r="790">
          <cell r="H790">
            <v>-35344.692928870005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47132.791285223575</v>
          </cell>
        </row>
        <row r="500">
          <cell r="H500">
            <v>-69975.856252409969</v>
          </cell>
        </row>
        <row r="502">
          <cell r="H502">
            <v>-44207.526102950054</v>
          </cell>
        </row>
        <row r="790">
          <cell r="H790">
            <v>-35635.031122339999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0.1468963623046875</v>
          </cell>
        </row>
        <row r="500">
          <cell r="H500">
            <v>0</v>
          </cell>
        </row>
        <row r="502">
          <cell r="H502">
            <v>-68744.612766179111</v>
          </cell>
        </row>
        <row r="598">
          <cell r="H598">
            <v>-18423.402480635905</v>
          </cell>
        </row>
        <row r="761">
          <cell r="H761">
            <v>9.1234757899999988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0.38983917236328125</v>
          </cell>
        </row>
        <row r="500">
          <cell r="H500">
            <v>0</v>
          </cell>
        </row>
        <row r="502">
          <cell r="H502">
            <v>-68916.057885444578</v>
          </cell>
        </row>
        <row r="598">
          <cell r="H598">
            <v>-20409.876567855114</v>
          </cell>
        </row>
        <row r="761">
          <cell r="H761">
            <v>10.1153555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0.33489227294921875</v>
          </cell>
        </row>
        <row r="500">
          <cell r="H500">
            <v>0</v>
          </cell>
        </row>
        <row r="502">
          <cell r="H502">
            <v>-68511.081671989712</v>
          </cell>
        </row>
        <row r="598">
          <cell r="H598">
            <v>-21114.521470602846</v>
          </cell>
        </row>
        <row r="761">
          <cell r="H761">
            <v>11.112845249999999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0.53002166748046875</v>
          </cell>
        </row>
        <row r="500">
          <cell r="H500">
            <v>0</v>
          </cell>
        </row>
        <row r="502">
          <cell r="H502">
            <v>-62371.181571876186</v>
          </cell>
        </row>
        <row r="598">
          <cell r="H598">
            <v>-26002.072435701524</v>
          </cell>
        </row>
        <row r="761">
          <cell r="H761">
            <v>12.09887033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</v>
          </cell>
        </row>
        <row r="500">
          <cell r="H500">
            <v>-1.0105248537999998</v>
          </cell>
        </row>
        <row r="502">
          <cell r="H502">
            <v>0</v>
          </cell>
        </row>
        <row r="598">
          <cell r="H598">
            <v>-12.524229179999999</v>
          </cell>
        </row>
        <row r="761">
          <cell r="H761">
            <v>-68.599999999999994</v>
          </cell>
        </row>
        <row r="790">
          <cell r="H790">
            <v>-15.535079442399999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1">
          <cell r="H471">
            <v>0</v>
          </cell>
        </row>
        <row r="501">
          <cell r="H501">
            <v>0</v>
          </cell>
        </row>
        <row r="503">
          <cell r="H503">
            <v>0</v>
          </cell>
        </row>
        <row r="599">
          <cell r="H599">
            <v>0</v>
          </cell>
        </row>
        <row r="764">
          <cell r="H764">
            <v>-177.8320544</v>
          </cell>
        </row>
        <row r="793">
          <cell r="H793">
            <v>0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0.61721038818359375</v>
          </cell>
        </row>
        <row r="502">
          <cell r="H502">
            <v>0</v>
          </cell>
        </row>
        <row r="504">
          <cell r="H504">
            <v>-64393.307691634778</v>
          </cell>
        </row>
        <row r="600">
          <cell r="H600">
            <v>-23882.958091562192</v>
          </cell>
        </row>
        <row r="765">
          <cell r="H765">
            <v>3.1375741000000001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2.04806</v>
          </cell>
        </row>
        <row r="472">
          <cell r="H472">
            <v>0.43837738037109375</v>
          </cell>
        </row>
        <row r="502">
          <cell r="H502">
            <v>0</v>
          </cell>
        </row>
        <row r="504">
          <cell r="H504">
            <v>-63958.757084868026</v>
          </cell>
        </row>
        <row r="600">
          <cell r="H600">
            <v>-21951.357989004529</v>
          </cell>
        </row>
        <row r="765">
          <cell r="H765">
            <v>4.2202397400000002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0.30027008056640625</v>
          </cell>
        </row>
        <row r="502">
          <cell r="H502">
            <v>0</v>
          </cell>
        </row>
        <row r="504">
          <cell r="H504">
            <v>-62334.519483329743</v>
          </cell>
        </row>
        <row r="600">
          <cell r="H600">
            <v>-22265.533127121555</v>
          </cell>
        </row>
        <row r="765">
          <cell r="H765">
            <v>5.2937266799999998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0.3176727294921875</v>
          </cell>
        </row>
        <row r="502">
          <cell r="H502">
            <v>0</v>
          </cell>
        </row>
        <row r="504">
          <cell r="H504">
            <v>-62536.810570389527</v>
          </cell>
        </row>
        <row r="600">
          <cell r="H600">
            <v>-24130.001424136048</v>
          </cell>
        </row>
        <row r="765">
          <cell r="H765">
            <v>6.4331430700000007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0.37497711181640625</v>
          </cell>
        </row>
        <row r="502">
          <cell r="H502">
            <v>0</v>
          </cell>
        </row>
        <row r="504">
          <cell r="H504">
            <v>-61001.96543023803</v>
          </cell>
        </row>
        <row r="600">
          <cell r="H600">
            <v>-22359.320597110025</v>
          </cell>
        </row>
        <row r="765">
          <cell r="H765">
            <v>7.5739374000000002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8.370208740234375E-2</v>
          </cell>
        </row>
        <row r="502">
          <cell r="H502">
            <v>0</v>
          </cell>
        </row>
        <row r="504">
          <cell r="H504">
            <v>-60353.853098806503</v>
          </cell>
        </row>
        <row r="600">
          <cell r="H600">
            <v>-22327.951755509755</v>
          </cell>
        </row>
        <row r="765">
          <cell r="H765">
            <v>8.7084859300000002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0.3704681396484375</v>
          </cell>
        </row>
        <row r="502">
          <cell r="H502">
            <v>0</v>
          </cell>
        </row>
        <row r="504">
          <cell r="H504">
            <v>-59701.351525934311</v>
          </cell>
        </row>
        <row r="600">
          <cell r="H600">
            <v>-24547.086721308526</v>
          </cell>
        </row>
        <row r="765">
          <cell r="H765">
            <v>9.8492569299999992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0.11737060546875</v>
          </cell>
        </row>
        <row r="502">
          <cell r="H502">
            <v>0</v>
          </cell>
        </row>
        <row r="504">
          <cell r="H504">
            <v>-57673.077465773837</v>
          </cell>
        </row>
        <row r="600">
          <cell r="H600">
            <v>-25204.262270020321</v>
          </cell>
        </row>
        <row r="765">
          <cell r="H765">
            <v>10.99207425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0.21288299560546875</v>
          </cell>
        </row>
        <row r="502">
          <cell r="H502">
            <v>0</v>
          </cell>
        </row>
        <row r="504">
          <cell r="H504">
            <v>-54156.628833257717</v>
          </cell>
        </row>
        <row r="600">
          <cell r="H600">
            <v>-26144.625159392803</v>
          </cell>
        </row>
        <row r="765">
          <cell r="H765">
            <v>12.153970409999999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76864712.596755981</v>
          </cell>
        </row>
        <row r="503">
          <cell r="H503">
            <v>0</v>
          </cell>
        </row>
        <row r="505">
          <cell r="H505">
            <v>-46563.571174940633</v>
          </cell>
        </row>
        <row r="601">
          <cell r="H601">
            <v>-32232.254658841739</v>
          </cell>
        </row>
        <row r="766">
          <cell r="H766">
            <v>15.222579319999999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0.25766754150390625</v>
          </cell>
        </row>
        <row r="503">
          <cell r="H503">
            <v>0</v>
          </cell>
        </row>
        <row r="505">
          <cell r="H505">
            <v>-46544.133787802115</v>
          </cell>
        </row>
        <row r="601">
          <cell r="H601">
            <v>-27265.46572228564</v>
          </cell>
        </row>
        <row r="766">
          <cell r="H766">
            <v>3.0688167799999997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6.285858154296875E-2</v>
          </cell>
        </row>
        <row r="503">
          <cell r="H503">
            <v>0</v>
          </cell>
        </row>
        <row r="505">
          <cell r="H505">
            <v>-47463.14076422833</v>
          </cell>
        </row>
        <row r="601">
          <cell r="H601">
            <v>-26421.997303251861</v>
          </cell>
        </row>
        <row r="766">
          <cell r="H766">
            <v>6.1319102300000008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</sheetNames>
    <sheetDataSet>
      <sheetData sheetId="0"/>
      <sheetData sheetId="1">
        <row r="473">
          <cell r="H473">
            <v>0.514251708984375</v>
          </cell>
        </row>
        <row r="503">
          <cell r="H503">
            <v>0</v>
          </cell>
        </row>
        <row r="505">
          <cell r="H505">
            <v>-41245.249449274765</v>
          </cell>
        </row>
        <row r="601">
          <cell r="H601">
            <v>-21915.407793311206</v>
          </cell>
        </row>
        <row r="766">
          <cell r="H766">
            <v>15.203040339999999</v>
          </cell>
        </row>
        <row r="795">
          <cell r="H79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57272.583604808242</v>
          </cell>
        </row>
        <row r="503">
          <cell r="H503">
            <v>-40154.577328311425</v>
          </cell>
        </row>
        <row r="505">
          <cell r="H505">
            <v>-16747.772520208971</v>
          </cell>
        </row>
        <row r="601">
          <cell r="H601">
            <v>5511.0721243726002</v>
          </cell>
        </row>
        <row r="766">
          <cell r="H766">
            <v>0.46601358599999998</v>
          </cell>
        </row>
        <row r="795">
          <cell r="H795">
            <v>-39483.083052790003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57778.740072339337</v>
          </cell>
        </row>
        <row r="503">
          <cell r="H503">
            <v>-39770.96991646169</v>
          </cell>
        </row>
        <row r="505">
          <cell r="H505">
            <v>-18024.699476287533</v>
          </cell>
        </row>
        <row r="601">
          <cell r="H601">
            <v>5510.1278719893999</v>
          </cell>
        </row>
        <row r="766">
          <cell r="H766">
            <v>0.37514006</v>
          </cell>
        </row>
        <row r="795">
          <cell r="H795">
            <v>-39461.471881789999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57714.220391912349</v>
          </cell>
        </row>
        <row r="504">
          <cell r="H504">
            <v>-37797.531212909278</v>
          </cell>
        </row>
        <row r="506">
          <cell r="H506">
            <v>-16663.921395537138</v>
          </cell>
        </row>
        <row r="602">
          <cell r="H602">
            <v>5511.0792928254004</v>
          </cell>
        </row>
        <row r="767">
          <cell r="H767">
            <v>0.34937949999999995</v>
          </cell>
        </row>
        <row r="796">
          <cell r="H796">
            <v>-39435.987517089998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 refreshError="1">
        <row r="474">
          <cell r="H474">
            <v>58494.781795643517</v>
          </cell>
        </row>
        <row r="504">
          <cell r="H504">
            <v>-33334.603343671748</v>
          </cell>
        </row>
        <row r="506">
          <cell r="H506">
            <v>-13282.205899796347</v>
          </cell>
        </row>
        <row r="602">
          <cell r="H602">
            <v>5648.4679061049992</v>
          </cell>
        </row>
        <row r="796">
          <cell r="H796">
            <v>-40028.206271989999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REPORTES RIN"/>
      <sheetName val="Ejecutivo"/>
      <sheetName val="Saldos SPNF"/>
      <sheetName val="Hoja2"/>
    </sheetNames>
    <sheetDataSet>
      <sheetData sheetId="0" refreshError="1"/>
      <sheetData sheetId="1">
        <row r="1">
          <cell r="I1">
            <v>2.1659700000000002</v>
          </cell>
        </row>
        <row r="480">
          <cell r="H480">
            <v>57913.366447426932</v>
          </cell>
        </row>
        <row r="510">
          <cell r="H510">
            <v>-30674.418702325333</v>
          </cell>
        </row>
        <row r="512">
          <cell r="H512">
            <v>-11924.63224701061</v>
          </cell>
        </row>
        <row r="608">
          <cell r="H608">
            <v>5737.7142475352002</v>
          </cell>
        </row>
        <row r="805">
          <cell r="H805">
            <v>-40347.942489199995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2.17259</v>
          </cell>
        </row>
        <row r="480">
          <cell r="H480">
            <v>63139.495371858182</v>
          </cell>
        </row>
        <row r="510">
          <cell r="H510">
            <v>-26010.657909970621</v>
          </cell>
        </row>
        <row r="512">
          <cell r="H512">
            <v>-5321.267392375471</v>
          </cell>
        </row>
        <row r="608">
          <cell r="H608">
            <v>5726.5567081673998</v>
          </cell>
        </row>
        <row r="805">
          <cell r="H805">
            <v>-43144.7282987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2.1796199999999999</v>
          </cell>
        </row>
        <row r="480">
          <cell r="H480">
            <v>58520.639442832107</v>
          </cell>
        </row>
        <row r="510">
          <cell r="H510">
            <v>-25240.010465296018</v>
          </cell>
        </row>
        <row r="512">
          <cell r="H512">
            <v>-6411.5557150389077</v>
          </cell>
        </row>
        <row r="608">
          <cell r="H608">
            <v>5509.6124379317998</v>
          </cell>
        </row>
        <row r="805">
          <cell r="H805">
            <v>-42253.187647699997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2.1853400000000001</v>
          </cell>
        </row>
        <row r="480">
          <cell r="H480">
            <v>57957.263004208711</v>
          </cell>
        </row>
        <row r="510">
          <cell r="H510">
            <v>-25548.553991914014</v>
          </cell>
        </row>
        <row r="512">
          <cell r="H512">
            <v>-6040.0740864734644</v>
          </cell>
        </row>
        <row r="608">
          <cell r="H608">
            <v>5603.3203978791998</v>
          </cell>
        </row>
        <row r="805">
          <cell r="H805">
            <v>-41712.531907800003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 refreshError="1"/>
      <sheetData sheetId="1">
        <row r="1">
          <cell r="I1">
            <v>2.1925599999999998</v>
          </cell>
        </row>
        <row r="480">
          <cell r="H480">
            <v>55134.025095758581</v>
          </cell>
        </row>
        <row r="510">
          <cell r="H510">
            <v>-29791.891118109015</v>
          </cell>
        </row>
        <row r="512">
          <cell r="H512">
            <v>-12531.037347315965</v>
          </cell>
        </row>
        <row r="608">
          <cell r="H608">
            <v>5626.4157588523994</v>
          </cell>
        </row>
        <row r="805">
          <cell r="H805">
            <v>-40597.346280400001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88"/>
  <sheetViews>
    <sheetView zoomScale="93" zoomScaleNormal="93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M6" sqref="DM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">
      <c r="A3"/>
      <c r="C3" s="15"/>
      <c r="D3" s="902" t="s">
        <v>108</v>
      </c>
      <c r="E3" s="904" t="s">
        <v>88</v>
      </c>
      <c r="F3" s="904" t="s">
        <v>90</v>
      </c>
      <c r="G3" s="904" t="s">
        <v>91</v>
      </c>
      <c r="H3" s="904" t="s">
        <v>92</v>
      </c>
      <c r="I3" s="904" t="s">
        <v>93</v>
      </c>
      <c r="J3" s="904" t="s">
        <v>95</v>
      </c>
      <c r="K3" s="904" t="s">
        <v>97</v>
      </c>
      <c r="L3" s="894" t="s">
        <v>98</v>
      </c>
      <c r="M3" s="896" t="s">
        <v>99</v>
      </c>
      <c r="N3" s="894" t="s">
        <v>100</v>
      </c>
      <c r="O3" s="894" t="s">
        <v>101</v>
      </c>
      <c r="P3" s="896" t="s">
        <v>102</v>
      </c>
      <c r="Q3" s="894" t="s">
        <v>103</v>
      </c>
      <c r="R3" s="894" t="s">
        <v>104</v>
      </c>
      <c r="S3" s="894" t="s">
        <v>105</v>
      </c>
      <c r="T3" s="894" t="s">
        <v>106</v>
      </c>
      <c r="U3" s="894" t="s">
        <v>114</v>
      </c>
      <c r="V3" s="894" t="s">
        <v>115</v>
      </c>
      <c r="W3" s="894" t="s">
        <v>116</v>
      </c>
      <c r="X3" s="894" t="s">
        <v>117</v>
      </c>
      <c r="Y3" s="894" t="s">
        <v>118</v>
      </c>
      <c r="Z3" s="894" t="s">
        <v>119</v>
      </c>
      <c r="AA3" s="894" t="s">
        <v>120</v>
      </c>
      <c r="AB3" s="894" t="s">
        <v>121</v>
      </c>
      <c r="AC3" s="894" t="s">
        <v>122</v>
      </c>
      <c r="AD3" s="894" t="s">
        <v>123</v>
      </c>
      <c r="AE3" s="894" t="s">
        <v>124</v>
      </c>
      <c r="AF3" s="894" t="s">
        <v>125</v>
      </c>
      <c r="AG3" s="894" t="s">
        <v>126</v>
      </c>
      <c r="AH3" s="894" t="s">
        <v>127</v>
      </c>
      <c r="AI3" s="894" t="s">
        <v>128</v>
      </c>
      <c r="AJ3" s="894" t="s">
        <v>129</v>
      </c>
      <c r="AK3" s="894" t="s">
        <v>130</v>
      </c>
      <c r="AL3" s="894" t="s">
        <v>131</v>
      </c>
      <c r="AM3" s="894" t="s">
        <v>132</v>
      </c>
      <c r="AN3" s="894" t="s">
        <v>133</v>
      </c>
      <c r="AO3" s="894" t="s">
        <v>134</v>
      </c>
      <c r="AP3" s="894" t="s">
        <v>135</v>
      </c>
      <c r="AQ3" s="894" t="s">
        <v>136</v>
      </c>
      <c r="AR3" s="894" t="s">
        <v>137</v>
      </c>
      <c r="AS3" s="894" t="s">
        <v>138</v>
      </c>
      <c r="AT3" s="894" t="s">
        <v>139</v>
      </c>
      <c r="AU3" s="894" t="s">
        <v>140</v>
      </c>
      <c r="AV3" s="896" t="s">
        <v>141</v>
      </c>
      <c r="AW3" s="894" t="s">
        <v>142</v>
      </c>
      <c r="AX3" s="894" t="s">
        <v>143</v>
      </c>
      <c r="AY3" s="894" t="s">
        <v>144</v>
      </c>
      <c r="AZ3" s="894" t="s">
        <v>145</v>
      </c>
      <c r="BA3" s="894" t="s">
        <v>146</v>
      </c>
      <c r="BB3" s="894" t="s">
        <v>152</v>
      </c>
      <c r="BC3" s="894" t="s">
        <v>153</v>
      </c>
      <c r="BD3" s="894" t="s">
        <v>154</v>
      </c>
      <c r="BE3" s="894" t="s">
        <v>155</v>
      </c>
      <c r="BF3" s="894" t="s">
        <v>156</v>
      </c>
      <c r="BG3" s="894" t="s">
        <v>162</v>
      </c>
      <c r="BH3" s="894" t="s">
        <v>163</v>
      </c>
      <c r="BI3" s="894" t="s">
        <v>164</v>
      </c>
      <c r="BJ3" s="894" t="s">
        <v>165</v>
      </c>
      <c r="BK3" s="894" t="s">
        <v>167</v>
      </c>
      <c r="BL3" s="896" t="s">
        <v>168</v>
      </c>
      <c r="BM3" s="894" t="s">
        <v>169</v>
      </c>
      <c r="BN3" s="894" t="s">
        <v>170</v>
      </c>
      <c r="BO3" s="894" t="s">
        <v>171</v>
      </c>
      <c r="BP3" s="894" t="s">
        <v>172</v>
      </c>
      <c r="BQ3" s="894" t="s">
        <v>173</v>
      </c>
      <c r="BR3" s="894" t="s">
        <v>174</v>
      </c>
      <c r="BS3" s="906" t="s">
        <v>175</v>
      </c>
      <c r="BT3" s="906" t="s">
        <v>176</v>
      </c>
      <c r="BU3" s="911" t="s">
        <v>185</v>
      </c>
      <c r="BV3" s="894" t="s">
        <v>186</v>
      </c>
      <c r="BW3" s="894" t="s">
        <v>192</v>
      </c>
      <c r="BX3" s="894" t="s">
        <v>193</v>
      </c>
      <c r="BY3" s="894" t="s">
        <v>196</v>
      </c>
      <c r="BZ3" s="896" t="s">
        <v>200</v>
      </c>
      <c r="CA3" s="896" t="s">
        <v>201</v>
      </c>
      <c r="CB3" s="896" t="s">
        <v>203</v>
      </c>
      <c r="CC3" s="896" t="s">
        <v>205</v>
      </c>
      <c r="CD3" s="896" t="s">
        <v>206</v>
      </c>
      <c r="CE3" s="896" t="s">
        <v>207</v>
      </c>
      <c r="CF3" s="896" t="s">
        <v>208</v>
      </c>
      <c r="CG3" s="896" t="s">
        <v>209</v>
      </c>
      <c r="CH3" s="896" t="s">
        <v>211</v>
      </c>
      <c r="CI3" s="896" t="s">
        <v>212</v>
      </c>
      <c r="CJ3" s="894" t="s">
        <v>213</v>
      </c>
      <c r="CK3" s="894" t="s">
        <v>214</v>
      </c>
      <c r="CL3" s="894" t="s">
        <v>215</v>
      </c>
      <c r="CM3" s="894" t="s">
        <v>216</v>
      </c>
      <c r="CN3" s="894" t="s">
        <v>218</v>
      </c>
      <c r="CO3" s="894" t="s">
        <v>219</v>
      </c>
      <c r="CP3" s="894" t="s">
        <v>226</v>
      </c>
      <c r="CQ3" s="894" t="s">
        <v>227</v>
      </c>
      <c r="CR3" s="894" t="s">
        <v>228</v>
      </c>
      <c r="CS3" s="894" t="s">
        <v>230</v>
      </c>
      <c r="CT3" s="894" t="s">
        <v>231</v>
      </c>
      <c r="CU3" s="894" t="s">
        <v>232</v>
      </c>
      <c r="CV3" s="894" t="s">
        <v>234</v>
      </c>
      <c r="CW3" s="894" t="s">
        <v>237</v>
      </c>
      <c r="CX3" s="894" t="s">
        <v>239</v>
      </c>
      <c r="CY3" s="894" t="s">
        <v>240</v>
      </c>
      <c r="CZ3" s="894" t="s">
        <v>241</v>
      </c>
      <c r="DA3" s="894" t="s">
        <v>242</v>
      </c>
      <c r="DB3" s="894" t="s">
        <v>243</v>
      </c>
      <c r="DC3" s="894" t="s">
        <v>244</v>
      </c>
      <c r="DD3" s="894" t="s">
        <v>245</v>
      </c>
      <c r="DE3" s="875" t="s">
        <v>238</v>
      </c>
      <c r="DF3" s="875" t="s">
        <v>246</v>
      </c>
      <c r="DG3" s="875" t="s">
        <v>247</v>
      </c>
      <c r="DH3" s="875" t="s">
        <v>248</v>
      </c>
      <c r="DI3" s="908" t="s">
        <v>249</v>
      </c>
      <c r="DJ3" s="909"/>
      <c r="DK3" s="909"/>
      <c r="DL3" s="909"/>
      <c r="DM3" s="910"/>
      <c r="DN3" s="858"/>
      <c r="DO3" s="859"/>
    </row>
    <row r="4" spans="1:128" ht="16.5" customHeight="1" x14ac:dyDescent="0.2">
      <c r="A4"/>
      <c r="C4" s="23"/>
      <c r="D4" s="903"/>
      <c r="E4" s="905"/>
      <c r="F4" s="905"/>
      <c r="G4" s="905"/>
      <c r="H4" s="905"/>
      <c r="I4" s="905"/>
      <c r="J4" s="905"/>
      <c r="K4" s="905"/>
      <c r="L4" s="895"/>
      <c r="M4" s="897"/>
      <c r="N4" s="895"/>
      <c r="O4" s="895"/>
      <c r="P4" s="897"/>
      <c r="Q4" s="895"/>
      <c r="R4" s="895"/>
      <c r="S4" s="895"/>
      <c r="T4" s="895"/>
      <c r="U4" s="895"/>
      <c r="V4" s="895"/>
      <c r="W4" s="895"/>
      <c r="X4" s="895"/>
      <c r="Y4" s="895"/>
      <c r="Z4" s="895"/>
      <c r="AA4" s="895"/>
      <c r="AB4" s="895"/>
      <c r="AC4" s="895"/>
      <c r="AD4" s="895"/>
      <c r="AE4" s="895"/>
      <c r="AF4" s="895"/>
      <c r="AG4" s="895"/>
      <c r="AH4" s="895"/>
      <c r="AI4" s="895"/>
      <c r="AJ4" s="895"/>
      <c r="AK4" s="895"/>
      <c r="AL4" s="895"/>
      <c r="AM4" s="895"/>
      <c r="AN4" s="895"/>
      <c r="AO4" s="895"/>
      <c r="AP4" s="895"/>
      <c r="AQ4" s="895"/>
      <c r="AR4" s="895"/>
      <c r="AS4" s="895"/>
      <c r="AT4" s="895"/>
      <c r="AU4" s="895"/>
      <c r="AV4" s="897"/>
      <c r="AW4" s="895"/>
      <c r="AX4" s="895"/>
      <c r="AY4" s="895"/>
      <c r="AZ4" s="895"/>
      <c r="BA4" s="895"/>
      <c r="BB4" s="895"/>
      <c r="BC4" s="895"/>
      <c r="BD4" s="895"/>
      <c r="BE4" s="895"/>
      <c r="BF4" s="895"/>
      <c r="BG4" s="895"/>
      <c r="BH4" s="895"/>
      <c r="BI4" s="895"/>
      <c r="BJ4" s="895"/>
      <c r="BK4" s="895"/>
      <c r="BL4" s="897"/>
      <c r="BM4" s="895"/>
      <c r="BN4" s="895"/>
      <c r="BO4" s="895"/>
      <c r="BP4" s="895"/>
      <c r="BQ4" s="895"/>
      <c r="BR4" s="895"/>
      <c r="BS4" s="907"/>
      <c r="BT4" s="907"/>
      <c r="BU4" s="912"/>
      <c r="BV4" s="895"/>
      <c r="BW4" s="895"/>
      <c r="BX4" s="895"/>
      <c r="BY4" s="895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5"/>
      <c r="CK4" s="895"/>
      <c r="CL4" s="895"/>
      <c r="CM4" s="895"/>
      <c r="CN4" s="895"/>
      <c r="CO4" s="895"/>
      <c r="CP4" s="895"/>
      <c r="CQ4" s="895"/>
      <c r="CR4" s="895"/>
      <c r="CS4" s="895"/>
      <c r="CT4" s="895"/>
      <c r="CU4" s="895"/>
      <c r="CV4" s="895"/>
      <c r="CW4" s="895"/>
      <c r="CX4" s="895"/>
      <c r="CY4" s="895"/>
      <c r="CZ4" s="895"/>
      <c r="DA4" s="895"/>
      <c r="DB4" s="895"/>
      <c r="DC4" s="895"/>
      <c r="DD4" s="895"/>
      <c r="DE4" s="876">
        <v>42951</v>
      </c>
      <c r="DF4" s="876">
        <v>42958</v>
      </c>
      <c r="DG4" s="876">
        <v>42965</v>
      </c>
      <c r="DH4" s="876">
        <v>42972</v>
      </c>
      <c r="DI4" s="856">
        <v>42975</v>
      </c>
      <c r="DJ4" s="856">
        <f t="shared" ref="DJ4:DL4" si="0">DI4+1</f>
        <v>42976</v>
      </c>
      <c r="DK4" s="856">
        <f t="shared" si="0"/>
        <v>42977</v>
      </c>
      <c r="DL4" s="856">
        <f t="shared" si="0"/>
        <v>42978</v>
      </c>
      <c r="DM4" s="855">
        <f>DK4+1+1</f>
        <v>42979</v>
      </c>
      <c r="DN4" s="326" t="s">
        <v>13</v>
      </c>
      <c r="DO4" s="278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286"/>
      <c r="DJ5" s="286"/>
      <c r="DK5" s="286"/>
      <c r="DL5" s="286"/>
      <c r="DM5" s="287"/>
      <c r="DN5" s="870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412"/>
      <c r="DI6" s="450"/>
      <c r="DJ6" s="450"/>
      <c r="DK6" s="844"/>
      <c r="DL6" s="844"/>
      <c r="DM6" s="872"/>
      <c r="DN6" s="871"/>
      <c r="DO6" s="271"/>
      <c r="DQ6" s="200"/>
    </row>
    <row r="7" spans="1:128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396">
        <v>10450.889557640001</v>
      </c>
      <c r="DH7" s="396">
        <v>10427.930994279999</v>
      </c>
      <c r="DI7" s="404">
        <v>10436.79159097</v>
      </c>
      <c r="DJ7" s="404">
        <v>10495.693414650001</v>
      </c>
      <c r="DK7" s="404">
        <v>10488.357355220003</v>
      </c>
      <c r="DL7" s="404">
        <v>10452.235888740001</v>
      </c>
      <c r="DM7" s="404">
        <v>10444.413440850001</v>
      </c>
      <c r="DN7" s="331">
        <f t="shared" ref="DN7:DN17" si="1">DM7-DH7</f>
        <v>16.482446570002139</v>
      </c>
      <c r="DO7" s="715">
        <f t="shared" ref="DO7:DO17" si="2">(+(DM7/DH7-1))*100</f>
        <v>0.15806056425808901</v>
      </c>
      <c r="DP7" s="458"/>
      <c r="DQ7" s="789"/>
      <c r="DR7" s="269"/>
    </row>
    <row r="8" spans="1:128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396">
        <v>8408.9656044700005</v>
      </c>
      <c r="DH8" s="396">
        <v>8388.4913004200007</v>
      </c>
      <c r="DI8" s="404">
        <v>8390.1885554699984</v>
      </c>
      <c r="DJ8" s="404">
        <v>8419.4911773900003</v>
      </c>
      <c r="DK8" s="404">
        <v>8415.0642428300016</v>
      </c>
      <c r="DL8" s="404">
        <v>8380.7059343500005</v>
      </c>
      <c r="DM8" s="404">
        <v>8353.7473356900009</v>
      </c>
      <c r="DN8" s="331">
        <f t="shared" si="1"/>
        <v>-34.743964729999789</v>
      </c>
      <c r="DO8" s="715">
        <f t="shared" si="2"/>
        <v>-0.41418609718603117</v>
      </c>
      <c r="DP8" s="458"/>
      <c r="DQ8" s="789"/>
      <c r="DR8" s="269"/>
    </row>
    <row r="9" spans="1:128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396">
        <v>234.36403721000002</v>
      </c>
      <c r="DH9" s="396">
        <v>235.16105768</v>
      </c>
      <c r="DI9" s="404">
        <v>235.31612651999998</v>
      </c>
      <c r="DJ9" s="404">
        <v>236.37326246000001</v>
      </c>
      <c r="DK9" s="404">
        <v>237.2586555</v>
      </c>
      <c r="DL9" s="404">
        <v>236.58927219</v>
      </c>
      <c r="DM9" s="404">
        <v>235.78020040000001</v>
      </c>
      <c r="DN9" s="331">
        <f t="shared" si="1"/>
        <v>0.61914272000001347</v>
      </c>
      <c r="DO9" s="715">
        <f t="shared" si="2"/>
        <v>0.2632845446896015</v>
      </c>
      <c r="DP9" s="458"/>
      <c r="DQ9" s="789"/>
      <c r="DR9" s="269"/>
    </row>
    <row r="10" spans="1:128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396">
        <v>1770.9801621399999</v>
      </c>
      <c r="DH10" s="396">
        <v>1767.5744826799998</v>
      </c>
      <c r="DI10" s="404">
        <v>1774.55855219</v>
      </c>
      <c r="DJ10" s="404">
        <v>1802.9356192600001</v>
      </c>
      <c r="DK10" s="404">
        <v>1799.0029084</v>
      </c>
      <c r="DL10" s="404">
        <v>1798.01992251</v>
      </c>
      <c r="DM10" s="404">
        <v>1818.09140415</v>
      </c>
      <c r="DN10" s="331">
        <f t="shared" si="1"/>
        <v>50.51692147000017</v>
      </c>
      <c r="DO10" s="715">
        <f t="shared" si="2"/>
        <v>2.8579797889708436</v>
      </c>
      <c r="DP10" s="458"/>
      <c r="DQ10" s="789"/>
      <c r="DR10" s="269"/>
    </row>
    <row r="11" spans="1:128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396">
        <v>36.579753820000001</v>
      </c>
      <c r="DH11" s="396">
        <v>36.704153500000004</v>
      </c>
      <c r="DI11" s="404">
        <v>36.728356789999999</v>
      </c>
      <c r="DJ11" s="404">
        <v>36.893355539999995</v>
      </c>
      <c r="DK11" s="404">
        <v>37.031548489999999</v>
      </c>
      <c r="DL11" s="404">
        <v>36.920759689999997</v>
      </c>
      <c r="DM11" s="404">
        <v>36.79450061</v>
      </c>
      <c r="DN11" s="331">
        <f t="shared" si="1"/>
        <v>9.0347109999996178E-2</v>
      </c>
      <c r="DO11" s="715">
        <f t="shared" si="2"/>
        <v>0.24614955361930146</v>
      </c>
      <c r="DP11" s="458"/>
      <c r="DQ11" s="789"/>
      <c r="DR11" s="269"/>
    </row>
    <row r="12" spans="1:128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396">
        <v>10450.888300030001</v>
      </c>
      <c r="DH12" s="396">
        <v>10427.929736669999</v>
      </c>
      <c r="DI12" s="404">
        <v>10436.790333359999</v>
      </c>
      <c r="DJ12" s="404">
        <v>10495.692157039999</v>
      </c>
      <c r="DK12" s="404">
        <v>10488.313087610002</v>
      </c>
      <c r="DL12" s="404">
        <v>10452.191524710001</v>
      </c>
      <c r="DM12" s="404">
        <v>10444.368996950001</v>
      </c>
      <c r="DN12" s="331">
        <f t="shared" si="1"/>
        <v>16.43926028000169</v>
      </c>
      <c r="DO12" s="715">
        <f t="shared" si="2"/>
        <v>0.15764644272766581</v>
      </c>
      <c r="DP12" s="458"/>
      <c r="DQ12" s="789"/>
      <c r="DR12" s="269"/>
    </row>
    <row r="13" spans="1:128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2448.6170337507288</v>
      </c>
      <c r="DF13" s="404">
        <v>2471.4998133819245</v>
      </c>
      <c r="DG13" s="396">
        <v>2487.8264846997081</v>
      </c>
      <c r="DH13" s="396">
        <v>2457.7141042580174</v>
      </c>
      <c r="DI13" s="404">
        <v>2428.7361332201162</v>
      </c>
      <c r="DJ13" s="404">
        <v>2402.5580580247815</v>
      </c>
      <c r="DK13" s="404">
        <v>2395.6998752274048</v>
      </c>
      <c r="DL13" s="404">
        <v>2389.2932448935862</v>
      </c>
      <c r="DM13" s="404">
        <v>2405.902997895043</v>
      </c>
      <c r="DN13" s="331">
        <f t="shared" si="1"/>
        <v>-51.811106362974442</v>
      </c>
      <c r="DO13" s="715">
        <f t="shared" si="2"/>
        <v>-2.1081014375598506</v>
      </c>
      <c r="DP13" s="458"/>
      <c r="DQ13" s="790"/>
      <c r="DR13" s="696"/>
      <c r="DS13" s="696"/>
      <c r="DT13" s="696"/>
      <c r="DU13" s="696"/>
    </row>
    <row r="14" spans="1:128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396">
        <v>1451.2200848</v>
      </c>
      <c r="DH14" s="396">
        <v>1445.3862696699998</v>
      </c>
      <c r="DI14" s="404">
        <v>1445.4778819900002</v>
      </c>
      <c r="DJ14" s="404">
        <v>1437.8512062900002</v>
      </c>
      <c r="DK14" s="404">
        <v>1437.9104343000001</v>
      </c>
      <c r="DL14" s="404">
        <v>1437.7932687599998</v>
      </c>
      <c r="DM14" s="404">
        <v>1437.8627392400001</v>
      </c>
      <c r="DN14" s="331">
        <f t="shared" si="1"/>
        <v>-7.5235304299997097</v>
      </c>
      <c r="DO14" s="715">
        <f t="shared" si="2"/>
        <v>-0.52052040259918941</v>
      </c>
      <c r="DP14" s="458"/>
      <c r="DQ14" s="789"/>
      <c r="DR14" s="696"/>
      <c r="DS14" s="696"/>
      <c r="DT14" s="696"/>
      <c r="DU14" s="696"/>
    </row>
    <row r="15" spans="1:128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396">
        <v>605.76568365335004</v>
      </c>
      <c r="DH15" s="396">
        <v>605.89159290240002</v>
      </c>
      <c r="DI15" s="404">
        <v>605.94402499429998</v>
      </c>
      <c r="DJ15" s="404">
        <v>588.51315810129995</v>
      </c>
      <c r="DK15" s="404">
        <v>588.53808141900004</v>
      </c>
      <c r="DL15" s="404">
        <v>588.56301455690004</v>
      </c>
      <c r="DM15" s="404">
        <v>588.58795156969995</v>
      </c>
      <c r="DN15" s="331">
        <f t="shared" si="1"/>
        <v>-17.303641332700067</v>
      </c>
      <c r="DO15" s="715">
        <f t="shared" si="2"/>
        <v>-2.8558972488478496</v>
      </c>
      <c r="DP15" s="458"/>
      <c r="DQ15" s="789"/>
      <c r="DR15" s="696"/>
      <c r="DS15" s="696"/>
      <c r="DT15" s="696"/>
      <c r="DU15" s="696"/>
      <c r="DV15" s="696"/>
      <c r="DW15" s="696"/>
      <c r="DX15" s="696"/>
    </row>
    <row r="16" spans="1:128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396">
        <v>733.77320942599999</v>
      </c>
      <c r="DH16" s="396">
        <v>733.91637033625</v>
      </c>
      <c r="DI16" s="404">
        <v>733.9787880857001</v>
      </c>
      <c r="DJ16" s="404">
        <v>734.03021082974999</v>
      </c>
      <c r="DK16" s="404">
        <v>734.06103656699997</v>
      </c>
      <c r="DL16" s="404">
        <v>734.09019755690008</v>
      </c>
      <c r="DM16" s="404">
        <v>734.11930969485002</v>
      </c>
      <c r="DN16" s="331">
        <f t="shared" si="1"/>
        <v>0.20293935860001966</v>
      </c>
      <c r="DO16" s="715">
        <f t="shared" si="2"/>
        <v>2.7651564510966509E-2</v>
      </c>
      <c r="DP16" s="458"/>
      <c r="DQ16" s="789"/>
      <c r="DR16" s="696"/>
      <c r="DS16" s="696"/>
      <c r="DT16" s="696"/>
      <c r="DU16" s="696"/>
    </row>
    <row r="17" spans="1:125" ht="12.75" customHeight="1" x14ac:dyDescent="0.2">
      <c r="C17" s="25"/>
      <c r="D17" s="681" t="s">
        <v>225</v>
      </c>
      <c r="E17" s="229">
        <f t="shared" ref="E17:AJ17" si="3">+E12+E13+E15+E16</f>
        <v>8743.2995502275498</v>
      </c>
      <c r="F17" s="229">
        <f t="shared" si="3"/>
        <v>8653.8322565486524</v>
      </c>
      <c r="G17" s="229">
        <f t="shared" si="3"/>
        <v>8694.1080005520525</v>
      </c>
      <c r="H17" s="229">
        <f t="shared" si="3"/>
        <v>8766.3872190041056</v>
      </c>
      <c r="I17" s="229">
        <f t="shared" si="3"/>
        <v>8821.2138794007369</v>
      </c>
      <c r="J17" s="229">
        <f t="shared" si="3"/>
        <v>9013.6161974470579</v>
      </c>
      <c r="K17" s="229">
        <f t="shared" si="3"/>
        <v>9117.050637170616</v>
      </c>
      <c r="L17" s="229">
        <f t="shared" si="3"/>
        <v>9216.5490000102036</v>
      </c>
      <c r="M17" s="229">
        <f t="shared" si="3"/>
        <v>9585.8600533512017</v>
      </c>
      <c r="N17" s="229">
        <f t="shared" si="3"/>
        <v>9897.7912738221803</v>
      </c>
      <c r="O17" s="229">
        <f t="shared" si="3"/>
        <v>9994.1005235507328</v>
      </c>
      <c r="P17" s="229">
        <f t="shared" si="3"/>
        <v>10171.442165777251</v>
      </c>
      <c r="Q17" s="229">
        <f t="shared" si="3"/>
        <v>10217.144151113553</v>
      </c>
      <c r="R17" s="229">
        <f t="shared" si="3"/>
        <v>10204.417480454025</v>
      </c>
      <c r="S17" s="225">
        <f t="shared" si="3"/>
        <v>10089.880962785634</v>
      </c>
      <c r="T17" s="225">
        <f t="shared" si="3"/>
        <v>10052.758651770724</v>
      </c>
      <c r="U17" s="225">
        <f t="shared" si="3"/>
        <v>10095.114104820408</v>
      </c>
      <c r="V17" s="225">
        <f t="shared" si="3"/>
        <v>10080.091287389256</v>
      </c>
      <c r="W17" s="225">
        <f t="shared" si="3"/>
        <v>10094.649856413966</v>
      </c>
      <c r="X17" s="225">
        <f t="shared" si="3"/>
        <v>10240.226339436233</v>
      </c>
      <c r="Y17" s="225">
        <f t="shared" si="3"/>
        <v>10345.629520611479</v>
      </c>
      <c r="Z17" s="225">
        <f t="shared" si="3"/>
        <v>10678.260511949655</v>
      </c>
      <c r="AA17" s="225">
        <f t="shared" si="3"/>
        <v>10915.227980318292</v>
      </c>
      <c r="AB17" s="225">
        <f t="shared" si="3"/>
        <v>11004.765024425793</v>
      </c>
      <c r="AC17" s="225">
        <f t="shared" si="3"/>
        <v>11353.080702677154</v>
      </c>
      <c r="AD17" s="225">
        <f t="shared" si="3"/>
        <v>11362.143770821072</v>
      </c>
      <c r="AE17" s="225">
        <f t="shared" si="3"/>
        <v>11670.729075007293</v>
      </c>
      <c r="AF17" s="225">
        <f t="shared" si="3"/>
        <v>11772.874790913265</v>
      </c>
      <c r="AG17" s="225">
        <f t="shared" si="3"/>
        <v>12145.493858149552</v>
      </c>
      <c r="AH17" s="225">
        <f t="shared" si="3"/>
        <v>12078.416237352376</v>
      </c>
      <c r="AI17" s="225">
        <f t="shared" si="3"/>
        <v>12196.273056207589</v>
      </c>
      <c r="AJ17" s="225">
        <f t="shared" si="3"/>
        <v>12612.521495689685</v>
      </c>
      <c r="AK17" s="225">
        <f t="shared" ref="AK17:BP17" si="4">+AK12+AK13+AK15+AK16</f>
        <v>13153.607451184025</v>
      </c>
      <c r="AL17" s="225">
        <f t="shared" si="4"/>
        <v>12835.153648368982</v>
      </c>
      <c r="AM17" s="225">
        <f t="shared" si="4"/>
        <v>13332.896478927489</v>
      </c>
      <c r="AN17" s="225">
        <f t="shared" si="4"/>
        <v>13525.019748334684</v>
      </c>
      <c r="AO17" s="225">
        <f t="shared" si="4"/>
        <v>13430.914127053335</v>
      </c>
      <c r="AP17" s="225">
        <f t="shared" si="4"/>
        <v>13869.49290512617</v>
      </c>
      <c r="AQ17" s="225">
        <f t="shared" si="4"/>
        <v>14137.062411160441</v>
      </c>
      <c r="AR17" s="225">
        <f t="shared" si="4"/>
        <v>14107.367534309931</v>
      </c>
      <c r="AS17" s="225">
        <f t="shared" si="4"/>
        <v>14199.879525752342</v>
      </c>
      <c r="AT17" s="225">
        <f t="shared" si="4"/>
        <v>13992.836512830438</v>
      </c>
      <c r="AU17" s="225">
        <f t="shared" si="4"/>
        <v>14046.481748599252</v>
      </c>
      <c r="AV17" s="331">
        <f t="shared" si="4"/>
        <v>14337.459506660538</v>
      </c>
      <c r="AW17" s="225">
        <f t="shared" si="4"/>
        <v>14669.444518601274</v>
      </c>
      <c r="AX17" s="225">
        <f t="shared" si="4"/>
        <v>15050.047762564205</v>
      </c>
      <c r="AY17" s="225">
        <f t="shared" si="4"/>
        <v>15384.990165996867</v>
      </c>
      <c r="AZ17" s="225">
        <f t="shared" si="4"/>
        <v>15477.504418987221</v>
      </c>
      <c r="BA17" s="225">
        <f t="shared" si="4"/>
        <v>15641.485590007578</v>
      </c>
      <c r="BB17" s="225">
        <f t="shared" si="4"/>
        <v>15857.38183181024</v>
      </c>
      <c r="BC17" s="225">
        <f t="shared" si="4"/>
        <v>15885.420740731151</v>
      </c>
      <c r="BD17" s="225">
        <f t="shared" si="4"/>
        <v>16041.74979590813</v>
      </c>
      <c r="BE17" s="225">
        <f t="shared" si="4"/>
        <v>16140.991952644375</v>
      </c>
      <c r="BF17" s="225">
        <f t="shared" si="4"/>
        <v>15935.492036800993</v>
      </c>
      <c r="BG17" s="225">
        <f t="shared" si="4"/>
        <v>15785.759611876952</v>
      </c>
      <c r="BH17" s="225">
        <f t="shared" si="4"/>
        <v>16329.821405994588</v>
      </c>
      <c r="BI17" s="225">
        <f t="shared" si="4"/>
        <v>16925.059681962379</v>
      </c>
      <c r="BJ17" s="331">
        <f t="shared" si="4"/>
        <v>17030.899940915366</v>
      </c>
      <c r="BK17" s="331">
        <f t="shared" si="4"/>
        <v>17399.893995760736</v>
      </c>
      <c r="BL17" s="385">
        <f t="shared" si="4"/>
        <v>17343.912591545315</v>
      </c>
      <c r="BM17" s="225">
        <f t="shared" si="4"/>
        <v>17648.681410436646</v>
      </c>
      <c r="BN17" s="331">
        <f t="shared" si="4"/>
        <v>17704.321040993847</v>
      </c>
      <c r="BO17" s="331">
        <f t="shared" si="4"/>
        <v>17775.341254256211</v>
      </c>
      <c r="BP17" s="331">
        <f t="shared" si="4"/>
        <v>17926.320872616907</v>
      </c>
      <c r="BQ17" s="331">
        <f t="shared" ref="BQ17:CO17" si="5">+BQ12+BQ13+BQ15+BQ16</f>
        <v>18070.762632382244</v>
      </c>
      <c r="BR17" s="225">
        <f t="shared" si="5"/>
        <v>18149.427353849067</v>
      </c>
      <c r="BS17" s="385">
        <f t="shared" si="5"/>
        <v>18437.627723821606</v>
      </c>
      <c r="BT17" s="225">
        <f t="shared" si="5"/>
        <v>18661.646486890961</v>
      </c>
      <c r="BU17" s="385">
        <f t="shared" si="5"/>
        <v>19098.450181691893</v>
      </c>
      <c r="BV17" s="225">
        <f t="shared" si="5"/>
        <v>19004.536842356392</v>
      </c>
      <c r="BW17" s="225">
        <f t="shared" si="5"/>
        <v>19056.744437214751</v>
      </c>
      <c r="BX17" s="678">
        <f t="shared" si="5"/>
        <v>19075.079589932837</v>
      </c>
      <c r="BY17" s="318">
        <f t="shared" si="5"/>
        <v>18738.517148313247</v>
      </c>
      <c r="BZ17" s="434">
        <f t="shared" si="5"/>
        <v>18570.816512439818</v>
      </c>
      <c r="CA17" s="679">
        <f t="shared" si="5"/>
        <v>18616.801641074318</v>
      </c>
      <c r="CB17" s="318">
        <f t="shared" si="5"/>
        <v>18427.394790495149</v>
      </c>
      <c r="CC17" s="679">
        <f t="shared" si="5"/>
        <v>18507.721166693646</v>
      </c>
      <c r="CD17" s="679">
        <f t="shared" si="5"/>
        <v>18388.714233247141</v>
      </c>
      <c r="CE17" s="318">
        <f t="shared" si="5"/>
        <v>18377.686905666396</v>
      </c>
      <c r="CF17" s="679">
        <f t="shared" si="5"/>
        <v>18189.912582492012</v>
      </c>
      <c r="CG17" s="318">
        <f t="shared" si="5"/>
        <v>18168.014437809048</v>
      </c>
      <c r="CH17" s="318">
        <f t="shared" si="5"/>
        <v>18027.539271276721</v>
      </c>
      <c r="CI17" s="318">
        <f t="shared" si="5"/>
        <v>17778.163999768243</v>
      </c>
      <c r="CJ17" s="318">
        <f t="shared" si="5"/>
        <v>17328.908128976658</v>
      </c>
      <c r="CK17" s="308">
        <f t="shared" si="5"/>
        <v>17057.309521927371</v>
      </c>
      <c r="CL17" s="637">
        <f t="shared" si="5"/>
        <v>16817.69150137464</v>
      </c>
      <c r="CM17" s="637">
        <f t="shared" si="5"/>
        <v>16807.240463908278</v>
      </c>
      <c r="CN17" s="637">
        <f t="shared" si="5"/>
        <v>16553.434209402807</v>
      </c>
      <c r="CO17" s="637">
        <f t="shared" si="5"/>
        <v>16330.595366602958</v>
      </c>
      <c r="CP17" s="396">
        <f>+CP12+CP13+CP15+CP16</f>
        <v>15837.073167421711</v>
      </c>
      <c r="CQ17" s="396">
        <f>+CQ12+CQ13+CQ15+CQ16</f>
        <v>15670.038960641408</v>
      </c>
      <c r="CR17" s="637">
        <f>+CR12+CR13+CR15+CR16</f>
        <v>15663.586803759375</v>
      </c>
      <c r="CS17" s="396">
        <f>+CS12+CS13+CS15+CS16</f>
        <v>15347.12388211213</v>
      </c>
      <c r="CT17" s="396">
        <f>+CT12+CT13+CT15+CT16</f>
        <v>15051.11518303971</v>
      </c>
      <c r="CU17" s="396">
        <f>CU12+CU13+CU15+CU16</f>
        <v>14780.619206761114</v>
      </c>
      <c r="CV17" s="396">
        <f t="shared" ref="CV17:CZ17" si="6">CV12+CV13+CV15+CV16</f>
        <v>14353.627336763771</v>
      </c>
      <c r="CW17" s="396">
        <f t="shared" si="6"/>
        <v>13909.947830269575</v>
      </c>
      <c r="CX17" s="396">
        <f t="shared" si="6"/>
        <v>13796.247720508798</v>
      </c>
      <c r="CY17" s="396">
        <f t="shared" si="6"/>
        <v>13742.087357665108</v>
      </c>
      <c r="CZ17" s="637">
        <f t="shared" si="6"/>
        <v>14369.087625749584</v>
      </c>
      <c r="DA17" s="396">
        <f>DA12+DA13+DA15+DA16</f>
        <v>14228.687329330971</v>
      </c>
      <c r="DB17" s="396">
        <f t="shared" ref="DB17:DH17" si="7">DB12+DB13+DB15+DB16</f>
        <v>14057.004143514039</v>
      </c>
      <c r="DC17" s="396">
        <f t="shared" si="7"/>
        <v>14080.129840437212</v>
      </c>
      <c r="DD17" s="396">
        <f t="shared" si="7"/>
        <v>14163.17570784433</v>
      </c>
      <c r="DE17" s="396">
        <f t="shared" si="7"/>
        <v>14149.637211412779</v>
      </c>
      <c r="DF17" s="404">
        <f t="shared" si="7"/>
        <v>14231.840185551422</v>
      </c>
      <c r="DG17" s="396">
        <f t="shared" si="7"/>
        <v>14278.253677809058</v>
      </c>
      <c r="DH17" s="396">
        <f t="shared" si="7"/>
        <v>14225.451804166667</v>
      </c>
      <c r="DI17" s="404">
        <f t="shared" ref="DI17:DJ17" si="8">DI12+DI13+DI15+DI16</f>
        <v>14205.449279660115</v>
      </c>
      <c r="DJ17" s="404">
        <f t="shared" si="8"/>
        <v>14220.79358399583</v>
      </c>
      <c r="DK17" s="404">
        <f t="shared" ref="DK17:DM17" si="9">DK12+DK13+DK15+DK16</f>
        <v>14206.612080823406</v>
      </c>
      <c r="DL17" s="404">
        <f t="shared" ref="DL17" si="10">DL12+DL13+DL15+DL16</f>
        <v>14164.137981717386</v>
      </c>
      <c r="DM17" s="404">
        <f t="shared" si="9"/>
        <v>14172.979256109593</v>
      </c>
      <c r="DN17" s="331">
        <f t="shared" si="1"/>
        <v>-52.472548057074164</v>
      </c>
      <c r="DO17" s="715">
        <f t="shared" si="2"/>
        <v>-0.3688638419322765</v>
      </c>
      <c r="DP17" s="458"/>
      <c r="DQ17" s="789"/>
      <c r="DR17" s="696"/>
      <c r="DS17" s="696"/>
      <c r="DT17" s="696"/>
      <c r="DU17" s="696"/>
    </row>
    <row r="18" spans="1:125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686">
        <v>0.3</v>
      </c>
      <c r="DH18" s="686">
        <v>0</v>
      </c>
      <c r="DI18" s="664">
        <v>0</v>
      </c>
      <c r="DJ18" s="664">
        <v>0</v>
      </c>
      <c r="DK18" s="664">
        <v>0</v>
      </c>
      <c r="DL18" s="664">
        <v>0</v>
      </c>
      <c r="DM18" s="664">
        <v>0</v>
      </c>
      <c r="DN18" s="654"/>
      <c r="DO18" s="810"/>
      <c r="DP18" s="458"/>
      <c r="DQ18" s="789"/>
      <c r="DR18" s="696"/>
      <c r="DS18" s="696"/>
      <c r="DT18" s="696"/>
      <c r="DU18" s="696"/>
    </row>
    <row r="19" spans="1:125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686">
        <v>0</v>
      </c>
      <c r="DH19" s="686">
        <v>0</v>
      </c>
      <c r="DI19" s="664">
        <v>0</v>
      </c>
      <c r="DJ19" s="664">
        <v>0</v>
      </c>
      <c r="DK19" s="664">
        <v>0</v>
      </c>
      <c r="DL19" s="664">
        <v>0</v>
      </c>
      <c r="DM19" s="664">
        <v>0</v>
      </c>
      <c r="DN19" s="654"/>
      <c r="DO19" s="810"/>
      <c r="DP19" s="458"/>
      <c r="DQ19" s="789"/>
      <c r="DR19" s="696"/>
      <c r="DS19" s="696"/>
      <c r="DT19" s="696"/>
      <c r="DU19" s="696"/>
    </row>
    <row r="20" spans="1:125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686">
        <v>0</v>
      </c>
      <c r="DH20" s="686">
        <v>0</v>
      </c>
      <c r="DI20" s="664">
        <v>0</v>
      </c>
      <c r="DJ20" s="664">
        <v>0</v>
      </c>
      <c r="DK20" s="664">
        <v>0</v>
      </c>
      <c r="DL20" s="664">
        <v>0</v>
      </c>
      <c r="DM20" s="664">
        <v>0</v>
      </c>
      <c r="DN20" s="654"/>
      <c r="DO20" s="810"/>
      <c r="DP20" s="458"/>
      <c r="DQ20" s="789"/>
      <c r="DR20" s="696"/>
      <c r="DS20" s="696"/>
      <c r="DT20" s="696"/>
      <c r="DU20" s="696"/>
    </row>
    <row r="21" spans="1:125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686">
        <v>0</v>
      </c>
      <c r="DH21" s="686">
        <v>0</v>
      </c>
      <c r="DI21" s="664">
        <v>0</v>
      </c>
      <c r="DJ21" s="664">
        <v>0</v>
      </c>
      <c r="DK21" s="664">
        <v>0</v>
      </c>
      <c r="DL21" s="664">
        <v>0</v>
      </c>
      <c r="DM21" s="664">
        <v>0</v>
      </c>
      <c r="DN21" s="654"/>
      <c r="DO21" s="810"/>
      <c r="DP21" s="458"/>
      <c r="DQ21" s="789"/>
      <c r="DR21" s="696"/>
      <c r="DS21" s="696"/>
      <c r="DT21" s="696"/>
      <c r="DU21" s="696"/>
    </row>
    <row r="22" spans="1:125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878">
        <v>0</v>
      </c>
      <c r="DG22" s="683">
        <v>0</v>
      </c>
      <c r="DH22" s="683">
        <v>0</v>
      </c>
      <c r="DI22" s="878">
        <v>10</v>
      </c>
      <c r="DJ22" s="878">
        <v>5</v>
      </c>
      <c r="DK22" s="661">
        <v>0.2</v>
      </c>
      <c r="DL22" s="661">
        <v>5</v>
      </c>
      <c r="DM22" s="661">
        <v>0</v>
      </c>
      <c r="DN22" s="654"/>
      <c r="DO22" s="810"/>
      <c r="DP22" s="458"/>
      <c r="DQ22" s="789"/>
      <c r="DR22" s="696"/>
      <c r="DS22" s="696"/>
      <c r="DT22" s="696"/>
      <c r="DU22" s="696"/>
    </row>
    <row r="23" spans="1:125" x14ac:dyDescent="0.2">
      <c r="A23" s="204"/>
      <c r="B23" s="3"/>
      <c r="C23" s="65" t="s">
        <v>56</v>
      </c>
      <c r="D23" s="92"/>
      <c r="E23" s="104"/>
      <c r="F23" s="104" t="e">
        <f>+#REF!*6.97</f>
        <v>#REF!</v>
      </c>
      <c r="G23" s="104" t="e">
        <f>+#REF!*6.97</f>
        <v>#REF!</v>
      </c>
      <c r="H23" s="104" t="e">
        <f>+#REF!*6.97</f>
        <v>#REF!</v>
      </c>
      <c r="I23" s="104" t="e">
        <f>+#REF!*6.97</f>
        <v>#REF!</v>
      </c>
      <c r="J23" s="104">
        <f>48.3/28.7</f>
        <v>1.6829268292682926</v>
      </c>
      <c r="K23" s="104">
        <f>48.3/28.7</f>
        <v>1.6829268292682926</v>
      </c>
      <c r="L23" s="104">
        <f>48.3/28.7</f>
        <v>1.6829268292682926</v>
      </c>
      <c r="M23" s="141"/>
      <c r="N23" s="154"/>
      <c r="O23" s="104">
        <f>48.3/28.7</f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221"/>
      <c r="DH23" s="221"/>
      <c r="DI23" s="634"/>
      <c r="DJ23" s="634"/>
      <c r="DK23" s="634"/>
      <c r="DL23" s="634"/>
      <c r="DM23" s="634"/>
      <c r="DN23" s="706"/>
      <c r="DO23" s="459" t="s">
        <v>3</v>
      </c>
      <c r="DP23" s="458"/>
      <c r="DQ23" s="791"/>
    </row>
    <row r="24" spans="1:125" x14ac:dyDescent="0.2">
      <c r="A24" s="204"/>
      <c r="B24" s="89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f>+[20]MACRO!$H$445</f>
        <v>30157.232277248353</v>
      </c>
      <c r="V24" s="223">
        <f>+[21]MACRO!$H$445</f>
        <v>30403.324394647541</v>
      </c>
      <c r="W24" s="223">
        <f>+[22]MACRO!$H$447</f>
        <v>29903.289470033258</v>
      </c>
      <c r="X24" s="223">
        <f>+[23]MACRO!$H$447</f>
        <v>28898.70055204309</v>
      </c>
      <c r="Y24" s="223">
        <f>+[24]MACRO!$H$447</f>
        <v>28619.650201445958</v>
      </c>
      <c r="Z24" s="223">
        <f>+[25]MACRO!$H$450</f>
        <v>28656.14215422389</v>
      </c>
      <c r="AA24" s="223">
        <f>+[26]MACRO!$H$450</f>
        <v>28178.482855580798</v>
      </c>
      <c r="AB24" s="223">
        <f>+[27]MACRO!$H$450</f>
        <v>28789.856249272303</v>
      </c>
      <c r="AC24" s="223">
        <f>+[28]MACRO!$H$450</f>
        <v>32577.475381140739</v>
      </c>
      <c r="AD24" s="223">
        <f>+[29]MACRO!$H$450</f>
        <v>32958.579074453213</v>
      </c>
      <c r="AE24" s="223">
        <f>+[30]MACRO!$H$450</f>
        <v>32753.997521922407</v>
      </c>
      <c r="AF24" s="223">
        <f>+[31]MACRO!$H$458</f>
        <v>33318.498855925034</v>
      </c>
      <c r="AG24" s="223">
        <f>+[32]MACRO!$H$458</f>
        <v>30179.544053439462</v>
      </c>
      <c r="AH24" s="223">
        <f>+[33]MACRO!$H$458</f>
        <v>29387.94146173272</v>
      </c>
      <c r="AI24" s="223">
        <f>+[34]MACRO!$H$458</f>
        <v>31157.768917289424</v>
      </c>
      <c r="AJ24" s="223">
        <f>+[35]MACRO!$H$458</f>
        <v>31437.502481094012</v>
      </c>
      <c r="AK24" s="223">
        <f>+[36]MACRO!$H$460</f>
        <v>32635.139769102381</v>
      </c>
      <c r="AL24" s="223">
        <f>+[37]MACRO!$H$460</f>
        <v>34320.068200088397</v>
      </c>
      <c r="AM24" s="223">
        <f>+[38]MACRO!$H$460</f>
        <v>35375.422907394481</v>
      </c>
      <c r="AN24" s="223">
        <f>+[39]MACRO!$H$460</f>
        <v>37694.737930022849</v>
      </c>
      <c r="AO24" s="223">
        <f>+[40]MACRO!$H$460</f>
        <v>41768.10404689797</v>
      </c>
      <c r="AP24" s="223">
        <f>+[41]MACRO!$H$460</f>
        <v>39518.452970210099</v>
      </c>
      <c r="AQ24" s="223">
        <f>+[42]MACRO!$H$460</f>
        <v>39171.409393767935</v>
      </c>
      <c r="AR24" s="223">
        <f>+[43]MACRO!$H$460</f>
        <v>39703.293302109952</v>
      </c>
      <c r="AS24" s="223">
        <f>+[43]MACRO!$H$460</f>
        <v>39703.293302109952</v>
      </c>
      <c r="AT24" s="223">
        <f>+[44]MACRO!$H$460</f>
        <v>36725.834415524267</v>
      </c>
      <c r="AU24" s="314">
        <f>+[45]MACRO!$H$460</f>
        <v>37503.828244931763</v>
      </c>
      <c r="AV24" s="330">
        <f>+[46]MACRO!$H$460</f>
        <v>36976.145654643202</v>
      </c>
      <c r="AW24" s="223">
        <f>+[47]MACRO!$H$460</f>
        <v>37915.235268250122</v>
      </c>
      <c r="AX24" s="223">
        <f>+[48]MACRO!$H$460</f>
        <v>39808.812685307246</v>
      </c>
      <c r="AY24" s="223">
        <f>+[49]MACRO!$H$460</f>
        <v>39897.674000118262</v>
      </c>
      <c r="AZ24" s="223">
        <f>+[50]MACRO!$H$460</f>
        <v>42290.00662329363</v>
      </c>
      <c r="BA24" s="223">
        <f>+[51]MACRO!$H$460</f>
        <v>48670.600375916838</v>
      </c>
      <c r="BB24" s="223">
        <f>+[52]MACRO!$H$460</f>
        <v>45853.153171793674</v>
      </c>
      <c r="BC24" s="223">
        <f>+[53]MACRO!$H$460</f>
        <v>45106.01534060634</v>
      </c>
      <c r="BD24" s="223">
        <f>+[54]MACRO!$H$460</f>
        <v>43142.448600577838</v>
      </c>
      <c r="BE24" s="223">
        <f>+[55]MACRO!$H$460</f>
        <v>41892.660601382173</v>
      </c>
      <c r="BF24" s="223">
        <f>+[56]MACRO!$H$461</f>
        <v>41468.493126136476</v>
      </c>
      <c r="BG24" s="371">
        <f>+[57]MACRO!$H$462</f>
        <v>43314.165693718947</v>
      </c>
      <c r="BH24" s="371">
        <f>+[58]MACRO!$H$462</f>
        <v>42593.305946749912</v>
      </c>
      <c r="BI24" s="314">
        <f>+[59]MACRO!$H$462</f>
        <v>43705.429036464229</v>
      </c>
      <c r="BJ24" s="223">
        <f>+[60]MACRO!$H$465</f>
        <v>44527.373373869792</v>
      </c>
      <c r="BK24" s="223">
        <f>+[61]MACRO!$H$467</f>
        <v>45122.235544590403</v>
      </c>
      <c r="BL24" s="374">
        <f>+[62]MACRO!$H$467</f>
        <v>45309.288393787479</v>
      </c>
      <c r="BM24" s="223">
        <f>+[63]MACRO!$H$468</f>
        <v>53487.841091198701</v>
      </c>
      <c r="BN24" s="314">
        <f>+[64]MACRO!$H$468</f>
        <v>46502.025808538099</v>
      </c>
      <c r="BO24" s="314">
        <f>+[65]MACRO!$H$468</f>
        <v>44971.025892743819</v>
      </c>
      <c r="BP24" s="314">
        <f>+[66]MACRO!$H$468</f>
        <v>43583.380129660538</v>
      </c>
      <c r="BQ24" s="314">
        <f>+[67]MACRO!$H$468</f>
        <v>44933.133215966773</v>
      </c>
      <c r="BR24" s="314">
        <f>+[68]MACRO!$H$468</f>
        <v>44710.185835211887</v>
      </c>
      <c r="BS24" s="408">
        <f>+[69]MACRO!$H$470</f>
        <v>46248.208124989978</v>
      </c>
      <c r="BT24" s="314">
        <f>+[70]MACRO!$H$470</f>
        <v>45999.454656780101</v>
      </c>
      <c r="BU24" s="416">
        <f>+[71]MACRO!$H$470</f>
        <v>47132.791285223575</v>
      </c>
      <c r="BV24" s="416">
        <f>+[72]MACRO!$H$470</f>
        <v>0.1468963623046875</v>
      </c>
      <c r="BW24" s="416">
        <f>+[73]MACRO!$H$470</f>
        <v>0.38983917236328125</v>
      </c>
      <c r="BX24" s="416">
        <f>+[74]MACRO!$H$470</f>
        <v>0.33489227294921875</v>
      </c>
      <c r="BY24" s="314">
        <f>+[75]MACRO!$H$470</f>
        <v>0.53002166748046875</v>
      </c>
      <c r="BZ24" s="416">
        <f>+[76]MACRO!$H$470</f>
        <v>0</v>
      </c>
      <c r="CA24" s="416">
        <f>+[77]MACRO!$H$471</f>
        <v>0</v>
      </c>
      <c r="CB24" s="314">
        <f>+[78]MACRO!$H$472</f>
        <v>0.61721038818359375</v>
      </c>
      <c r="CC24" s="416">
        <f>+[79]MACRO!$H$472</f>
        <v>0.43837738037109375</v>
      </c>
      <c r="CD24" s="416">
        <f>+[80]MACRO!$H$472</f>
        <v>0.30027008056640625</v>
      </c>
      <c r="CE24" s="314">
        <f>+[81]MACRO!$H$472</f>
        <v>0.3176727294921875</v>
      </c>
      <c r="CF24" s="416">
        <f>+[82]MACRO!$H$472</f>
        <v>0.37497711181640625</v>
      </c>
      <c r="CG24" s="314">
        <f>+[83]MACRO!$H$472</f>
        <v>8.370208740234375E-2</v>
      </c>
      <c r="CH24" s="314">
        <f>+[84]MACRO!$H$472</f>
        <v>0.3704681396484375</v>
      </c>
      <c r="CI24" s="314">
        <f>+[85]MACRO!$H$472</f>
        <v>0.11737060546875</v>
      </c>
      <c r="CJ24" s="314">
        <f>+[86]MACRO!$H$472</f>
        <v>0.21288299560546875</v>
      </c>
      <c r="CK24" s="314">
        <f>+[87]MACRO!$H$473</f>
        <v>76864712.596755981</v>
      </c>
      <c r="CL24" s="632">
        <f>+[88]MACRO!$H$473</f>
        <v>0.25766754150390625</v>
      </c>
      <c r="CM24" s="653">
        <f>+[89]MACRO!$H$473</f>
        <v>6.285858154296875E-2</v>
      </c>
      <c r="CN24" s="653">
        <v>59674.575930174418</v>
      </c>
      <c r="CO24" s="653">
        <v>57933.897321517827</v>
      </c>
      <c r="CP24" s="684">
        <f>+[90]MACRO!$H$473</f>
        <v>0.514251708984375</v>
      </c>
      <c r="CQ24" s="684">
        <f>+[91]MACRO!$H$473</f>
        <v>57272.583604808242</v>
      </c>
      <c r="CR24" s="632">
        <f>+[92]MACRO!$H$473</f>
        <v>57778.740072339337</v>
      </c>
      <c r="CS24" s="684">
        <f>+[93]MACRO!$H$474</f>
        <v>57714.220391912349</v>
      </c>
      <c r="CT24" s="694">
        <v>58538.723864955493</v>
      </c>
      <c r="CU24" s="684">
        <f>[94]MACRO!$H$474</f>
        <v>58494.781795643517</v>
      </c>
      <c r="CV24" s="684">
        <f>[95]MACRO!$H$480</f>
        <v>57913.366447426932</v>
      </c>
      <c r="CW24" s="684">
        <f>[96]MACRO!$H$480</f>
        <v>63139.495371858182</v>
      </c>
      <c r="CX24" s="684">
        <f>[97]MACRO!$H$480</f>
        <v>58520.639442832107</v>
      </c>
      <c r="CY24" s="632">
        <f>[98]MACRO!$H$480</f>
        <v>57957.263004208711</v>
      </c>
      <c r="CZ24" s="632">
        <f>[99]MACRO!$H$480</f>
        <v>55134.025095758581</v>
      </c>
      <c r="DA24" s="684">
        <f>[100]MACRO!$H$480</f>
        <v>54027.591498366703</v>
      </c>
      <c r="DB24" s="684">
        <f>[101]MACRO!$H$480</f>
        <v>56458.957319403678</v>
      </c>
      <c r="DC24" s="684">
        <f>[102]MACRO!$H$480</f>
        <v>58887.261795546787</v>
      </c>
      <c r="DD24" s="684">
        <f>[103]MACRO!$H$480</f>
        <v>58553.422854152101</v>
      </c>
      <c r="DE24" s="684">
        <f>[104]MACRO!$H$480</f>
        <v>60585.434371641983</v>
      </c>
      <c r="DF24" s="662">
        <f>[105]MACRO!$H$480</f>
        <v>60413.108369605623</v>
      </c>
      <c r="DG24" s="684">
        <f>[106]MACRO!$H$480</f>
        <v>59784.243874124484</v>
      </c>
      <c r="DH24" s="684">
        <f>[107]MACRO!$H$480</f>
        <v>58891.75231276454</v>
      </c>
      <c r="DI24" s="662">
        <f>[108]MACRO!$H$480</f>
        <v>59339.13359270597</v>
      </c>
      <c r="DJ24" s="662">
        <f>[109]MACRO!$H$480</f>
        <v>58595.178058172183</v>
      </c>
      <c r="DK24" s="662">
        <f>[110]MACRO!$H$480</f>
        <v>58573.242351338587</v>
      </c>
      <c r="DL24" s="662">
        <f>[111]MACRO!$H$480</f>
        <v>59464.875018305596</v>
      </c>
      <c r="DM24" s="662">
        <f>[112]MACRO!$H$480</f>
        <v>60840.979659488141</v>
      </c>
      <c r="DN24" s="331">
        <f>DM24-DH24</f>
        <v>1949.2273467236009</v>
      </c>
      <c r="DO24" s="715">
        <f>(+(DM24/DH24-1))*100</f>
        <v>3.3098477633533019</v>
      </c>
      <c r="DP24" s="458"/>
      <c r="DQ24" s="703"/>
      <c r="DR24" s="269"/>
    </row>
    <row r="25" spans="1:125" x14ac:dyDescent="0.2">
      <c r="A25" s="204"/>
      <c r="B25" s="89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f>-[20]MACRO!$H$758</f>
        <v>18102.7542961</v>
      </c>
      <c r="V25" s="223">
        <f>-[21]MACRO!$H$758</f>
        <v>18598.362352259999</v>
      </c>
      <c r="W25" s="223">
        <f>-[22]MACRO!$H$760</f>
        <v>19111.73186009</v>
      </c>
      <c r="X25" s="223">
        <f>-[23]MACRO!$H$760</f>
        <v>19273.531734020002</v>
      </c>
      <c r="Y25" s="223">
        <f>-[24]MACRO!$H$760</f>
        <v>19243.647425389998</v>
      </c>
      <c r="Z25" s="223">
        <f>-[25]MACRO!$H$765</f>
        <v>19374.36654173</v>
      </c>
      <c r="AA25" s="223">
        <f>-[26]MACRO!$H$765</f>
        <v>19720.61379911</v>
      </c>
      <c r="AB25" s="223">
        <f>-[27]MACRO!$H$765</f>
        <v>20284.401278249999</v>
      </c>
      <c r="AC25" s="223">
        <f>-[28]MACRO!$H$765</f>
        <v>24585.622267570001</v>
      </c>
      <c r="AD25" s="223">
        <f>-[29]MACRO!$H$765</f>
        <v>23610.75446086</v>
      </c>
      <c r="AE25" s="223">
        <f>-[30]MACRO!$H$765</f>
        <v>23358.59828613</v>
      </c>
      <c r="AF25" s="223">
        <f>-[31]MACRO!$H$773</f>
        <v>23139.315299330003</v>
      </c>
      <c r="AG25" s="223">
        <f>-[32]MACRO!$H$773</f>
        <v>23402.080371930002</v>
      </c>
      <c r="AH25" s="223">
        <f>-[33]MACRO!$H$773</f>
        <v>23750.031313169999</v>
      </c>
      <c r="AI25" s="223">
        <f>-[34]MACRO!$H$773</f>
        <v>24643.468506500001</v>
      </c>
      <c r="AJ25" s="223">
        <f>-[35]MACRO!$H$773</f>
        <v>25057.120629689998</v>
      </c>
      <c r="AK25" s="223">
        <f>-[36]MACRO!$H$775</f>
        <v>25377.25269935</v>
      </c>
      <c r="AL25" s="223">
        <f>-[37]MACRO!$H$775</f>
        <v>25704.845640889998</v>
      </c>
      <c r="AM25" s="223">
        <f>-[38]MACRO!$H$775</f>
        <v>26070.208207840002</v>
      </c>
      <c r="AN25" s="223">
        <f>-[39]MACRO!$H$775</f>
        <v>26355.467033959998</v>
      </c>
      <c r="AO25" s="223">
        <f>-[40]MACRO!$H$775</f>
        <v>28585.08716164</v>
      </c>
      <c r="AP25" s="223">
        <f>-[41]MACRO!$H$775</f>
        <v>27904.261643500002</v>
      </c>
      <c r="AQ25" s="223">
        <f>-[42]MACRO!$H$775</f>
        <v>27651.922542569999</v>
      </c>
      <c r="AR25" s="223">
        <f>-[43]MACRO!$H$775</f>
        <v>27218.263037979999</v>
      </c>
      <c r="AS25" s="223">
        <f>-[43]MACRO!$H$775</f>
        <v>27218.263037979999</v>
      </c>
      <c r="AT25" s="223">
        <f>-[44]MACRO!$H$775</f>
        <v>27520.15649094</v>
      </c>
      <c r="AU25" s="314">
        <f>-[45]MACRO!$H$775</f>
        <v>28361.012891549999</v>
      </c>
      <c r="AV25" s="330">
        <f>-[46]MACRO!$H$775</f>
        <v>28505.503548820001</v>
      </c>
      <c r="AW25" s="223">
        <f>-[47]MACRO!$H$775</f>
        <v>28584.619925939998</v>
      </c>
      <c r="AX25" s="223">
        <f>-[48]MACRO!$H$775</f>
        <v>29033.313723990002</v>
      </c>
      <c r="AY25" s="223">
        <f>-[49]MACRO!$H$775</f>
        <v>29535.500998900003</v>
      </c>
      <c r="AZ25" s="223">
        <f>-[50]MACRO!$H$775</f>
        <v>30131.992337290001</v>
      </c>
      <c r="BA25" s="223">
        <f>-[51]MACRO!$H$775</f>
        <v>32665.086160450002</v>
      </c>
      <c r="BB25" s="223">
        <f>-[52]MACRO!$H$775</f>
        <v>31825.354411959997</v>
      </c>
      <c r="BC25" s="223">
        <f>-[53]MACRO!$H$775</f>
        <v>31105.858646380002</v>
      </c>
      <c r="BD25" s="223">
        <f>-[54]MACRO!$H$775</f>
        <v>30802.19048116</v>
      </c>
      <c r="BE25" s="223">
        <f>-[55]MACRO!$H$775</f>
        <v>30829.345512419997</v>
      </c>
      <c r="BF25" s="223">
        <f>-[56]MACRO!$H$776</f>
        <v>31213.30397026</v>
      </c>
      <c r="BG25" s="371">
        <f>-[57]MACRO!$H$778</f>
        <v>31641.167205549998</v>
      </c>
      <c r="BH25" s="371">
        <f>-[58]MACRO!$H$778</f>
        <v>31888.061633040001</v>
      </c>
      <c r="BI25" s="314">
        <f>-[59]MACRO!$H$778</f>
        <v>31958.471105610002</v>
      </c>
      <c r="BJ25" s="223">
        <f>-[60]MACRO!$H$785</f>
        <v>32333.088900520001</v>
      </c>
      <c r="BK25" s="223">
        <f>-[61]MACRO!$H$787</f>
        <v>32726.848775180002</v>
      </c>
      <c r="BL25" s="374">
        <f>-[62]MACRO!$H$787</f>
        <v>33376.52294907</v>
      </c>
      <c r="BM25" s="223">
        <f>-[63]MACRO!$H$788</f>
        <v>37001.012189349996</v>
      </c>
      <c r="BN25" s="314">
        <f>-[64]MACRO!$H$788</f>
        <v>35908.594242320003</v>
      </c>
      <c r="BO25" s="314">
        <f>-[65]MACRO!$H$788</f>
        <v>35170.474726610002</v>
      </c>
      <c r="BP25" s="314">
        <f>-[66]MACRO!$H$788</f>
        <v>34508.930251170001</v>
      </c>
      <c r="BQ25" s="314">
        <f>-[67]MACRO!$H$788</f>
        <v>34555.717835570002</v>
      </c>
      <c r="BR25" s="314">
        <f>-[68]MACRO!$H$788</f>
        <v>34634.109018330004</v>
      </c>
      <c r="BS25" s="408">
        <f>-[69]MACRO!$H$790</f>
        <v>35280.659298040002</v>
      </c>
      <c r="BT25" s="314">
        <f>-[70]MACRO!$H$790</f>
        <v>35344.692928870005</v>
      </c>
      <c r="BU25" s="416">
        <f>-[71]MACRO!$H$790</f>
        <v>35635.031122339999</v>
      </c>
      <c r="BV25" s="416">
        <f>-+[72]MACRO!$H$790</f>
        <v>0</v>
      </c>
      <c r="BW25" s="416">
        <f>-+[73]MACRO!$H$790</f>
        <v>0</v>
      </c>
      <c r="BX25" s="416">
        <f>-+[74]MACRO!$H$790</f>
        <v>0</v>
      </c>
      <c r="BY25" s="314">
        <f>-+[75]MACRO!$H$790</f>
        <v>0</v>
      </c>
      <c r="BZ25" s="416">
        <f>-+[76]MACRO!$H$790</f>
        <v>15.535079442399999</v>
      </c>
      <c r="CA25" s="416">
        <f>-+[77]MACRO!$H$793</f>
        <v>0</v>
      </c>
      <c r="CB25" s="314">
        <f>-+[78]MACRO!$H$794</f>
        <v>0</v>
      </c>
      <c r="CC25" s="416">
        <f>-+[79]MACRO!$H$794</f>
        <v>0</v>
      </c>
      <c r="CD25" s="416">
        <f>-+[80]MACRO!$H$794</f>
        <v>0</v>
      </c>
      <c r="CE25" s="314">
        <f>-+[81]MACRO!$H$794</f>
        <v>0</v>
      </c>
      <c r="CF25" s="416">
        <f>-+[82]MACRO!$H$794</f>
        <v>0</v>
      </c>
      <c r="CG25" s="314">
        <f>-+[83]MACRO!$H$794</f>
        <v>0</v>
      </c>
      <c r="CH25" s="314">
        <f>-+[84]MACRO!$H$794</f>
        <v>0</v>
      </c>
      <c r="CI25" s="314">
        <f>-+[85]MACRO!$H$794</f>
        <v>0</v>
      </c>
      <c r="CJ25" s="314">
        <f>-+[86]MACRO!$H$794</f>
        <v>0</v>
      </c>
      <c r="CK25" s="314">
        <f>-+[87]MACRO!$H$795</f>
        <v>0</v>
      </c>
      <c r="CL25" s="632">
        <f>-(+[88]MACRO!$H$795)</f>
        <v>0</v>
      </c>
      <c r="CM25" s="653">
        <f>-+[89]MACRO!$H$795</f>
        <v>0</v>
      </c>
      <c r="CN25" s="653">
        <v>39151.185397690002</v>
      </c>
      <c r="CO25" s="653">
        <v>39269.468627790004</v>
      </c>
      <c r="CP25" s="684">
        <f>-[90]MACRO!$H$795</f>
        <v>0</v>
      </c>
      <c r="CQ25" s="684">
        <f>-[91]MACRO!$H$795</f>
        <v>39483.083052790003</v>
      </c>
      <c r="CR25" s="632">
        <f>-[92]MACRO!$H$795</f>
        <v>39461.471881789999</v>
      </c>
      <c r="CS25" s="684">
        <f>-[93]MACRO!$H$796</f>
        <v>39435.987517089998</v>
      </c>
      <c r="CT25" s="694">
        <v>39426.338544689999</v>
      </c>
      <c r="CU25" s="684">
        <f>-[94]MACRO!$H$796</f>
        <v>40028.206271989999</v>
      </c>
      <c r="CV25" s="684">
        <f>-[95]MACRO!$H$805</f>
        <v>40347.942489199995</v>
      </c>
      <c r="CW25" s="684">
        <f>-[96]MACRO!$H$805</f>
        <v>43144.7282987</v>
      </c>
      <c r="CX25" s="684">
        <f>-[97]MACRO!$H$805</f>
        <v>42253.187647699997</v>
      </c>
      <c r="CY25" s="632">
        <f>-[98]MACRO!$H$805</f>
        <v>41712.531907800003</v>
      </c>
      <c r="CZ25" s="632">
        <f>-[99]MACRO!$H$805</f>
        <v>40597.346280400001</v>
      </c>
      <c r="DA25" s="684">
        <f>-[100]MACRO!$H$805</f>
        <v>40315.357887400001</v>
      </c>
      <c r="DB25" s="684">
        <f>-[101]MACRO!$H$805</f>
        <v>39678.108934699994</v>
      </c>
      <c r="DC25" s="684">
        <f>-[102]MACRO!$H$805</f>
        <v>40427.888099410004</v>
      </c>
      <c r="DD25" s="684">
        <f>-[103]MACRO!$H$805</f>
        <v>40745.922345410007</v>
      </c>
      <c r="DE25" s="684">
        <f>-[104]MACRO!$H$805</f>
        <v>41325.289560510006</v>
      </c>
      <c r="DF25" s="662">
        <f>-[105]MACRO!$H$805</f>
        <v>41526.362898109997</v>
      </c>
      <c r="DG25" s="684">
        <f>-[106]MACRO!$H$805</f>
        <v>41218.210395410002</v>
      </c>
      <c r="DH25" s="684">
        <f>-[107]MACRO!$H$805</f>
        <v>40966.954748309996</v>
      </c>
      <c r="DI25" s="662">
        <f>-[108]MACRO!$H$805</f>
        <v>40959.869937809999</v>
      </c>
      <c r="DJ25" s="662">
        <f>-[109]MACRO!$H$805</f>
        <v>40921.763613210001</v>
      </c>
      <c r="DK25" s="662">
        <f>-[110]MACRO!$H$805</f>
        <v>40867.184950410003</v>
      </c>
      <c r="DL25" s="662">
        <f>-[111]MACRO!$H$805</f>
        <v>40841.309307910007</v>
      </c>
      <c r="DM25" s="662">
        <f>-[112]MACRO!$H$805</f>
        <v>40949.641623110001</v>
      </c>
      <c r="DN25" s="331">
        <f>DM25-DH25</f>
        <v>-17.313125199994829</v>
      </c>
      <c r="DO25" s="715">
        <f>(+(DM25/DH25-1))*100</f>
        <v>-4.2261196387094468E-2</v>
      </c>
      <c r="DP25" s="458"/>
      <c r="DQ25" s="703"/>
      <c r="DR25" s="269"/>
    </row>
    <row r="26" spans="1:125" x14ac:dyDescent="0.2">
      <c r="A26" s="204"/>
      <c r="B26" s="89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f>+[20]MACRO!$H$475</f>
        <v>-40725.721875145755</v>
      </c>
      <c r="V26" s="223">
        <f>+[21]MACRO!$H$475</f>
        <v>-40337.81012964726</v>
      </c>
      <c r="W26" s="223">
        <f>+[22]MACRO!$H$477</f>
        <v>-40393.376146655639</v>
      </c>
      <c r="X26" s="223">
        <f>+[23]MACRO!$H$477</f>
        <v>-40786.054479408231</v>
      </c>
      <c r="Y26" s="223">
        <f>+[24]MACRO!$H$477</f>
        <v>-41654.468781513388</v>
      </c>
      <c r="Z26" s="223">
        <f>+[25]MACRO!$H$480</f>
        <v>-43763.135008598176</v>
      </c>
      <c r="AA26" s="223">
        <f>+[26]MACRO!$H$480</f>
        <v>-44456.948586455765</v>
      </c>
      <c r="AB26" s="223">
        <f>+[27]MACRO!$H$480</f>
        <v>-44259.691304114895</v>
      </c>
      <c r="AC26" s="223">
        <f>+[28]MACRO!$H$480</f>
        <v>-42938.181556930314</v>
      </c>
      <c r="AD26" s="223">
        <f>+[29]MACRO!$H$480</f>
        <v>-45901.140750460218</v>
      </c>
      <c r="AE26" s="223">
        <f>+[30]MACRO!$H$480</f>
        <v>-48312.242030117974</v>
      </c>
      <c r="AF26" s="223">
        <f>+[31]MACRO!$H$488</f>
        <v>-49213.248066820343</v>
      </c>
      <c r="AG26" s="223">
        <f>+[32]MACRO!$H$488</f>
        <v>-50678.862959427162</v>
      </c>
      <c r="AH26" s="223">
        <f>+[33]MACRO!$H$488</f>
        <v>-49812.623303278691</v>
      </c>
      <c r="AI26" s="223">
        <f>+[34]MACRO!$H$488</f>
        <v>-49325.781787705811</v>
      </c>
      <c r="AJ26" s="223">
        <f>+[35]MACRO!$H$488</f>
        <v>-50765.833533730947</v>
      </c>
      <c r="AK26" s="223">
        <f>+[36]MACRO!$H$490</f>
        <v>-54535.029617007371</v>
      </c>
      <c r="AL26" s="223">
        <f>+[37]MACRO!$H$490</f>
        <v>-52669.107745117784</v>
      </c>
      <c r="AM26" s="223">
        <f>+[38]MACRO!$H$490</f>
        <v>-55701.044226470614</v>
      </c>
      <c r="AN26" s="223">
        <f>+[39]MACRO!$H$490</f>
        <v>-56751.641763571315</v>
      </c>
      <c r="AO26" s="223">
        <f>+[40]MACRO!$H$490</f>
        <v>-53862.153016766635</v>
      </c>
      <c r="AP26" s="223">
        <f>+[41]MACRO!$H$490</f>
        <v>-57769.8499961743</v>
      </c>
      <c r="AQ26" s="223">
        <f>+[42]MACRO!$H$490</f>
        <v>-59738.430211019026</v>
      </c>
      <c r="AR26" s="223">
        <f>+[43]MACRO!$H$490</f>
        <v>-60223.761023498584</v>
      </c>
      <c r="AS26" s="223">
        <f>+[43]MACRO!$H$490</f>
        <v>-60223.761023498584</v>
      </c>
      <c r="AT26" s="223">
        <f>+[44]MACRO!$H$490</f>
        <v>-57693.920501219334</v>
      </c>
      <c r="AU26" s="314">
        <f>+[45]MACRO!$H$490</f>
        <v>-56975.733137620555</v>
      </c>
      <c r="AV26" s="330">
        <f>+[46]MACRO!$H$490</f>
        <v>-58945.687472738617</v>
      </c>
      <c r="AW26" s="223">
        <f>+[47]MACRO!$H$490</f>
        <v>-61032.358741471253</v>
      </c>
      <c r="AX26" s="223">
        <f>+[48]MACRO!$H$490</f>
        <v>-63022.789226928377</v>
      </c>
      <c r="AY26" s="223">
        <f>+[49]MACRO!$H$490</f>
        <v>-64938.716468228835</v>
      </c>
      <c r="AZ26" s="223">
        <f>+[50]MACRO!$H$490</f>
        <v>-65398.945782221133</v>
      </c>
      <c r="BA26" s="223">
        <f>+[51]MACRO!$H$490</f>
        <v>-62872.216313078694</v>
      </c>
      <c r="BB26" s="223">
        <f>+[52]MACRO!$H$490</f>
        <v>-64550.757844114705</v>
      </c>
      <c r="BC26" s="223">
        <f>+[53]MACRO!$H$490</f>
        <v>-65624.384177470201</v>
      </c>
      <c r="BD26" s="223">
        <f>+[54]MACRO!$H$490</f>
        <v>-66525.27326386956</v>
      </c>
      <c r="BE26" s="223">
        <f>+[55]MACRO!$H$490</f>
        <v>-66625.615153915016</v>
      </c>
      <c r="BF26" s="223">
        <f>+[56]MACRO!$H$491</f>
        <v>-64879.032880982537</v>
      </c>
      <c r="BG26" s="371">
        <f>+[57]MACRO!$H$492</f>
        <v>-64067.514772103619</v>
      </c>
      <c r="BH26" s="371">
        <f>+[58]MACRO!$H$492</f>
        <v>-66282.880942301694</v>
      </c>
      <c r="BI26" s="314">
        <f>+[59]MACRO!$H$492</f>
        <v>-66834.390144024423</v>
      </c>
      <c r="BJ26" s="223">
        <f>+[60]MACRO!$H$495</f>
        <v>-67257.32114892808</v>
      </c>
      <c r="BK26" s="223">
        <f>+[61]MACRO!$H$497</f>
        <v>-65027.991334582759</v>
      </c>
      <c r="BL26" s="374">
        <f>+[62]MACRO!$H$497</f>
        <v>-64228.712436513662</v>
      </c>
      <c r="BM26" s="223">
        <f>+[63]MACRO!$H$498</f>
        <v>-61989.77955595086</v>
      </c>
      <c r="BN26" s="314">
        <f>+[64]MACRO!$H$498</f>
        <v>-63694.572215758635</v>
      </c>
      <c r="BO26" s="314">
        <f>+[65]MACRO!$H$498</f>
        <v>-64695.313957981081</v>
      </c>
      <c r="BP26" s="314">
        <f>+[66]MACRO!$H$498</f>
        <v>-64896.284958885997</v>
      </c>
      <c r="BQ26" s="314">
        <f>+[67]MACRO!$H$498</f>
        <v>-65140.840120823574</v>
      </c>
      <c r="BR26" s="314">
        <f>+[68]MACRO!$H$498</f>
        <v>-65115.007822482745</v>
      </c>
      <c r="BS26" s="408">
        <f>+[69]MACRO!$H$500</f>
        <v>-66308.059794521148</v>
      </c>
      <c r="BT26" s="314">
        <f>+[70]MACRO!$H$500</f>
        <v>-66686.713396128602</v>
      </c>
      <c r="BU26" s="416">
        <f>+[71]MACRO!$H$500</f>
        <v>-69975.856252409969</v>
      </c>
      <c r="BV26" s="416">
        <f>++[72]MACRO!$H$500</f>
        <v>0</v>
      </c>
      <c r="BW26" s="416">
        <f>++[73]MACRO!$H$500</f>
        <v>0</v>
      </c>
      <c r="BX26" s="416">
        <f>++[74]MACRO!$H$500</f>
        <v>0</v>
      </c>
      <c r="BY26" s="314">
        <f>++[75]MACRO!$H$500</f>
        <v>0</v>
      </c>
      <c r="BZ26" s="416">
        <f>++[76]MACRO!$H$500</f>
        <v>-1.0105248537999998</v>
      </c>
      <c r="CA26" s="416">
        <f>++[77]MACRO!$H$501</f>
        <v>0</v>
      </c>
      <c r="CB26" s="314">
        <f>++[78]MACRO!$H$502</f>
        <v>0</v>
      </c>
      <c r="CC26" s="416">
        <f>++[79]MACRO!$H$502</f>
        <v>0</v>
      </c>
      <c r="CD26" s="416">
        <f>++[80]MACRO!$H$502</f>
        <v>0</v>
      </c>
      <c r="CE26" s="314">
        <f>++[81]MACRO!$H$502</f>
        <v>0</v>
      </c>
      <c r="CF26" s="416">
        <f>++[82]MACRO!$H$502</f>
        <v>0</v>
      </c>
      <c r="CG26" s="314">
        <f>++[83]MACRO!$H$502</f>
        <v>0</v>
      </c>
      <c r="CH26" s="314">
        <f>++[84]MACRO!$H$502</f>
        <v>0</v>
      </c>
      <c r="CI26" s="314">
        <f>++[85]MACRO!$H$502</f>
        <v>0</v>
      </c>
      <c r="CJ26" s="314">
        <f>++[86]MACRO!$H$502</f>
        <v>0</v>
      </c>
      <c r="CK26" s="314">
        <f>++[87]MACRO!$H$503</f>
        <v>0</v>
      </c>
      <c r="CL26" s="632">
        <f>+[88]MACRO!$H$503</f>
        <v>0</v>
      </c>
      <c r="CM26" s="653">
        <f>++[89]MACRO!$H$503</f>
        <v>0</v>
      </c>
      <c r="CN26" s="653">
        <v>-46480.539488136805</v>
      </c>
      <c r="CO26" s="653">
        <v>-44650.567615949723</v>
      </c>
      <c r="CP26" s="684">
        <f>[90]MACRO!$H$503</f>
        <v>0</v>
      </c>
      <c r="CQ26" s="684">
        <f>[91]MACRO!$H$503</f>
        <v>-40154.577328311425</v>
      </c>
      <c r="CR26" s="632">
        <f>[92]MACRO!$H$503</f>
        <v>-39770.96991646169</v>
      </c>
      <c r="CS26" s="684">
        <f>[93]MACRO!$H$504</f>
        <v>-37797.531212909278</v>
      </c>
      <c r="CT26" s="694">
        <v>-36299.992402893055</v>
      </c>
      <c r="CU26" s="684">
        <f>[94]MACRO!$H$504</f>
        <v>-33334.603343671748</v>
      </c>
      <c r="CV26" s="684">
        <f>[95]MACRO!$H$510</f>
        <v>-30674.418702325333</v>
      </c>
      <c r="CW26" s="684">
        <f>[96]MACRO!$H$510</f>
        <v>-26010.657909970621</v>
      </c>
      <c r="CX26" s="684">
        <f>[97]MACRO!$H$510</f>
        <v>-25240.010465296018</v>
      </c>
      <c r="CY26" s="632">
        <f>[98]MACRO!$H$510</f>
        <v>-25548.553991914014</v>
      </c>
      <c r="CZ26" s="632">
        <f>[99]MACRO!$H$510</f>
        <v>-29791.891118109015</v>
      </c>
      <c r="DA26" s="684">
        <f>[100]MACRO!$H$510</f>
        <v>-28457.477798470307</v>
      </c>
      <c r="DB26" s="684">
        <f>[101]MACRO!$H$510</f>
        <v>-30662.131228143819</v>
      </c>
      <c r="DC26" s="684">
        <f>[102]MACRO!$H$510</f>
        <v>-30269.504639991239</v>
      </c>
      <c r="DD26" s="684">
        <f>[103]MACRO!$H$510</f>
        <v>-30308.960537278384</v>
      </c>
      <c r="DE26" s="684">
        <f>[104]MACRO!$H$510</f>
        <v>-29687.671887737513</v>
      </c>
      <c r="DF26" s="662">
        <f>[105]MACRO!$H$510</f>
        <v>-29890.888548851162</v>
      </c>
      <c r="DG26" s="684">
        <f>[106]MACRO!$H$510</f>
        <v>-30474.883342817098</v>
      </c>
      <c r="DH26" s="684">
        <f>[107]MACRO!$H$510</f>
        <v>-30568.643245326457</v>
      </c>
      <c r="DI26" s="662">
        <f>[108]MACRO!$H$510</f>
        <v>-30636.511749227448</v>
      </c>
      <c r="DJ26" s="662">
        <f>[109]MACRO!$H$510</f>
        <v>-31078.684584191047</v>
      </c>
      <c r="DK26" s="662">
        <f>[110]MACRO!$H$510</f>
        <v>-31082.642830740911</v>
      </c>
      <c r="DL26" s="662">
        <f>[111]MACRO!$H$510</f>
        <v>-30860.724551664298</v>
      </c>
      <c r="DM26" s="662">
        <f>[112]MACRO!$H$510</f>
        <v>-30698.729696106318</v>
      </c>
      <c r="DN26" s="331">
        <f>DM26-DH26</f>
        <v>-130.08645077986148</v>
      </c>
      <c r="DO26" s="715">
        <f>(+(DM26/DH26-1))*100</f>
        <v>0.42555519960720822</v>
      </c>
      <c r="DP26" s="458"/>
      <c r="DQ26" s="703"/>
      <c r="DR26" s="269"/>
    </row>
    <row r="27" spans="1:125" x14ac:dyDescent="0.2">
      <c r="A27" s="204"/>
      <c r="B27" s="89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f>+[20]MACRO!$H$477</f>
        <v>-14535.737468911831</v>
      </c>
      <c r="V27" s="223">
        <f>+[21]MACRO!$H$477</f>
        <v>-14921.374404462185</v>
      </c>
      <c r="W27" s="223">
        <f>+[22]MACRO!$H$479</f>
        <v>-16051.877890473672</v>
      </c>
      <c r="X27" s="223">
        <f>+[23]MACRO!$H$479</f>
        <v>-17451.955823853175</v>
      </c>
      <c r="Y27" s="223">
        <f>+[24]MACRO!$H$479</f>
        <v>-18695.844246511424</v>
      </c>
      <c r="Z27" s="223">
        <f>+[25]MACRO!$H$482</f>
        <v>-19622.556781357227</v>
      </c>
      <c r="AA27" s="223">
        <f>+[26]MACRO!$H$482</f>
        <v>-20206.230807064483</v>
      </c>
      <c r="AB27" s="223">
        <f>+[27]MACRO!$H$482</f>
        <v>-20380.590815921831</v>
      </c>
      <c r="AC27" s="223">
        <f>+[28]MACRO!$H$482</f>
        <v>-19033.717018390915</v>
      </c>
      <c r="AD27" s="223">
        <f>+[29]MACRO!$H$482</f>
        <v>-20395.683250635</v>
      </c>
      <c r="AE27" s="223">
        <f>+[30]MACRO!$H$482</f>
        <v>-21398.482908853341</v>
      </c>
      <c r="AF27" s="223">
        <f>+[31]MACRO!$H$490</f>
        <v>-20515.376437737094</v>
      </c>
      <c r="AG27" s="223">
        <f>+[32]MACRO!$H$490</f>
        <v>-22720.668638767067</v>
      </c>
      <c r="AH27" s="223">
        <f>+[33]MACRO!$H$490</f>
        <v>-24039.985288323489</v>
      </c>
      <c r="AI27" s="223">
        <f>+[34]MACRO!$H$490</f>
        <v>-23153.205909382435</v>
      </c>
      <c r="AJ27" s="223">
        <f>+[35]MACRO!$H$490</f>
        <v>-24583.659881486485</v>
      </c>
      <c r="AK27" s="223">
        <f>+[36]MACRO!$H$492</f>
        <v>-25793.166578529057</v>
      </c>
      <c r="AL27" s="223">
        <f>+[37]MACRO!$H$492</f>
        <v>-26182.201187179729</v>
      </c>
      <c r="AM27" s="223">
        <f>+[38]MACRO!$H$492</f>
        <v>-26496.70745701719</v>
      </c>
      <c r="AN27" s="223">
        <f>+[39]MACRO!$H$492</f>
        <v>-25953.885438716748</v>
      </c>
      <c r="AO27" s="223">
        <f>+[40]MACRO!$H$492</f>
        <v>-23173.066224700859</v>
      </c>
      <c r="AP27" s="223">
        <f>+[41]MACRO!$H$492</f>
        <v>-26541.033333331314</v>
      </c>
      <c r="AQ27" s="223">
        <f>+[42]MACRO!$H$492</f>
        <v>-27446.881256662626</v>
      </c>
      <c r="AR27" s="223">
        <f>+[43]MACRO!$H$492</f>
        <v>-27543.760398590322</v>
      </c>
      <c r="AS27" s="223">
        <f>+[43]MACRO!$H$492</f>
        <v>-27543.760398590322</v>
      </c>
      <c r="AT27" s="223">
        <f>+[44]MACRO!$H$492</f>
        <v>-29605.296675278201</v>
      </c>
      <c r="AU27" s="314">
        <f>+[45]MACRO!$H$492</f>
        <v>-29131.072663441082</v>
      </c>
      <c r="AV27" s="330">
        <f>+[46]MACRO!$H$492</f>
        <v>-31072.632851696399</v>
      </c>
      <c r="AW27" s="223">
        <f>+[47]MACRO!$H$492</f>
        <v>-32641.457819049901</v>
      </c>
      <c r="AX27" s="223">
        <f>+[48]MACRO!$H$492</f>
        <v>-31624.133640066389</v>
      </c>
      <c r="AY27" s="223">
        <f>+[49]MACRO!$H$492</f>
        <v>-35032.5816729574</v>
      </c>
      <c r="AZ27" s="223">
        <f>+[50]MACRO!$H$492</f>
        <v>-34484.140394999115</v>
      </c>
      <c r="BA27" s="223">
        <f>+[51]MACRO!$H$492</f>
        <v>-29315.840023017481</v>
      </c>
      <c r="BB27" s="223">
        <f>+[52]MACRO!$H$492</f>
        <v>-31541.942415822032</v>
      </c>
      <c r="BC27" s="223">
        <f>+[53]MACRO!$H$492</f>
        <v>-33255.567901084709</v>
      </c>
      <c r="BD27" s="223">
        <f>+[54]MACRO!$H$492</f>
        <v>-34246.472273750573</v>
      </c>
      <c r="BE27" s="223">
        <f>+[55]MACRO!$H$492</f>
        <v>-36347.891468227179</v>
      </c>
      <c r="BF27" s="223">
        <f>+[56]MACRO!$H$493</f>
        <v>-36985.8815015625</v>
      </c>
      <c r="BG27" s="371">
        <f>+[57]MACRO!$H$494</f>
        <v>-35653.62847587213</v>
      </c>
      <c r="BH27" s="371">
        <f>+[58]MACRO!$H$494</f>
        <v>-37909.190004581549</v>
      </c>
      <c r="BI27" s="314">
        <f>+[59]MACRO!$H$494</f>
        <v>-41299.918654736801</v>
      </c>
      <c r="BJ27" s="223">
        <f>+[60]MACRO!$H$497</f>
        <v>-41345.434098601705</v>
      </c>
      <c r="BK27" s="223">
        <f>+[61]MACRO!$H$499</f>
        <v>-41671.917323780086</v>
      </c>
      <c r="BL27" s="374">
        <f>+[62]MACRO!$H$499</f>
        <v>-41205.002824314797</v>
      </c>
      <c r="BM27" s="223">
        <f>+[63]MACRO!$H$500</f>
        <v>-33813.097812691674</v>
      </c>
      <c r="BN27" s="314">
        <f>+[64]MACRO!$H$500</f>
        <v>-35379.873657794473</v>
      </c>
      <c r="BO27" s="314">
        <f>+[65]MACRO!$H$500</f>
        <v>-35909.120431382136</v>
      </c>
      <c r="BP27" s="314">
        <f>+[66]MACRO!$H$500</f>
        <v>-37354.259685190009</v>
      </c>
      <c r="BQ27" s="314">
        <f>+[67]MACRO!$H$500</f>
        <v>-38644.746607878733</v>
      </c>
      <c r="BR27" s="314">
        <f>+[68]MACRO!$H$500</f>
        <v>-39922.86813474472</v>
      </c>
      <c r="BS27" s="408">
        <f>+[69]MACRO!$H$502</f>
        <v>-39064.965928607722</v>
      </c>
      <c r="BT27" s="314">
        <f>+[70]MACRO!$H$502</f>
        <v>-41939.025653690995</v>
      </c>
      <c r="BU27" s="416">
        <f>+[71]MACRO!$H$502</f>
        <v>-44207.526102950054</v>
      </c>
      <c r="BV27" s="416">
        <f>++[72]MACRO!$H$502</f>
        <v>-68744.612766179111</v>
      </c>
      <c r="BW27" s="416">
        <f>++[73]MACRO!$H$502</f>
        <v>-68916.057885444578</v>
      </c>
      <c r="BX27" s="416">
        <f>++[74]MACRO!$H$502</f>
        <v>-68511.081671989712</v>
      </c>
      <c r="BY27" s="314">
        <f>++[75]MACRO!$H$502</f>
        <v>-62371.181571876186</v>
      </c>
      <c r="BZ27" s="416">
        <f>++[76]MACRO!$H$502</f>
        <v>0</v>
      </c>
      <c r="CA27" s="416">
        <f>++[77]MACRO!$H$503</f>
        <v>0</v>
      </c>
      <c r="CB27" s="314">
        <f>++[78]MACRO!$H$504</f>
        <v>-64393.307691634778</v>
      </c>
      <c r="CC27" s="416">
        <f>++[79]MACRO!$H$504</f>
        <v>-63958.757084868026</v>
      </c>
      <c r="CD27" s="416">
        <f>++[80]MACRO!$H$504</f>
        <v>-62334.519483329743</v>
      </c>
      <c r="CE27" s="314">
        <f>++[81]MACRO!$H$504</f>
        <v>-62536.810570389527</v>
      </c>
      <c r="CF27" s="416">
        <f>++[82]MACRO!$H$504</f>
        <v>-61001.96543023803</v>
      </c>
      <c r="CG27" s="314">
        <f>++[83]MACRO!$H$504</f>
        <v>-60353.853098806503</v>
      </c>
      <c r="CH27" s="314">
        <f>++[84]MACRO!$H$504</f>
        <v>-59701.351525934311</v>
      </c>
      <c r="CI27" s="314">
        <f>++[85]MACRO!$H$504</f>
        <v>-57673.077465773837</v>
      </c>
      <c r="CJ27" s="314">
        <f>++[86]MACRO!$H$504</f>
        <v>-54156.628833257717</v>
      </c>
      <c r="CK27" s="314">
        <f>++[87]MACRO!$H$505</f>
        <v>-46563.571174940633</v>
      </c>
      <c r="CL27" s="632">
        <f>+[88]MACRO!$H$505</f>
        <v>-46544.133787802115</v>
      </c>
      <c r="CM27" s="653">
        <f>++[89]MACRO!$H$505</f>
        <v>-47463.14076422833</v>
      </c>
      <c r="CN27" s="653">
        <v>-19957.445178932117</v>
      </c>
      <c r="CO27" s="653">
        <v>-19968.056496929788</v>
      </c>
      <c r="CP27" s="684">
        <f>+[90]MACRO!$H$505</f>
        <v>-41245.249449274765</v>
      </c>
      <c r="CQ27" s="684">
        <f>+[91]MACRO!$H$505</f>
        <v>-16747.772520208971</v>
      </c>
      <c r="CR27" s="632">
        <f>+[92]MACRO!$H$505</f>
        <v>-18024.699476287533</v>
      </c>
      <c r="CS27" s="684">
        <f>+[93]MACRO!$H$506</f>
        <v>-16663.921395537138</v>
      </c>
      <c r="CT27" s="694">
        <v>-15085.995156880133</v>
      </c>
      <c r="CU27" s="684">
        <f>[94]MACRO!$H$506</f>
        <v>-13282.205899796347</v>
      </c>
      <c r="CV27" s="684">
        <f>[95]MACRO!$H$512</f>
        <v>-11924.63224701061</v>
      </c>
      <c r="CW27" s="684">
        <f>[96]MACRO!$H$512</f>
        <v>-5321.267392375471</v>
      </c>
      <c r="CX27" s="684">
        <f>[97]MACRO!$H$512</f>
        <v>-6411.5557150389077</v>
      </c>
      <c r="CY27" s="632">
        <f>[98]MACRO!$H$512</f>
        <v>-6040.0740864734644</v>
      </c>
      <c r="CZ27" s="632">
        <f>[99]MACRO!$H$512</f>
        <v>-12531.037347315965</v>
      </c>
      <c r="DA27" s="684">
        <f>[100]MACRO!$H$512</f>
        <v>-14018.335236645717</v>
      </c>
      <c r="DB27" s="684">
        <f>[101]MACRO!$H$512</f>
        <v>-14471.898039667671</v>
      </c>
      <c r="DC27" s="684">
        <f>[102]MACRO!$H$512</f>
        <v>-12802.391873709739</v>
      </c>
      <c r="DD27" s="684">
        <f>[103]MACRO!$H$512</f>
        <v>-12825.424935390374</v>
      </c>
      <c r="DE27" s="684">
        <f>[104]MACRO!$H$512</f>
        <v>-10686.770299663071</v>
      </c>
      <c r="DF27" s="662">
        <f>[105]MACRO!$H$512</f>
        <v>-11199.421095438231</v>
      </c>
      <c r="DG27" s="684">
        <f>[106]MACRO!$H$512</f>
        <v>-12028.655449990272</v>
      </c>
      <c r="DH27" s="684">
        <f>[107]MACRO!$H$512</f>
        <v>-12782.195526054535</v>
      </c>
      <c r="DI27" s="662">
        <f>[108]MACRO!$H$512</f>
        <v>-12254.70482186622</v>
      </c>
      <c r="DJ27" s="662">
        <f>[109]MACRO!$H$512</f>
        <v>-13102.786651295504</v>
      </c>
      <c r="DK27" s="662">
        <f>[110]MACRO!$H$512</f>
        <v>-13096.051294956731</v>
      </c>
      <c r="DL27" s="662">
        <f>[111]MACRO!$H$512</f>
        <v>-12367.107188315655</v>
      </c>
      <c r="DM27" s="662">
        <f>[112]MACRO!$H$512</f>
        <v>-10260.76266594807</v>
      </c>
      <c r="DN27" s="331">
        <f>DM27-DH27</f>
        <v>2521.4328601064644</v>
      </c>
      <c r="DO27" s="715">
        <f>(+(DM27/DH27-1))*100</f>
        <v>-19.726132767777749</v>
      </c>
      <c r="DP27" s="458"/>
      <c r="DQ27" s="703"/>
      <c r="DR27" s="269"/>
    </row>
    <row r="28" spans="1:125" x14ac:dyDescent="0.2">
      <c r="A28" s="204"/>
      <c r="B28" s="89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f>+[113]MACRO!$H$574+[113]MACRO!$H$731</f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f>+[114]MACRO!$H$578+[114]MACRO!$H$737</f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f>+[115]MACRO!$H$588+[115]MACRO!$H$747</f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f>+[116]MACRO!$H$588+[116]MACRO!$H$747</f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f>+[117]MACRO!$H$596+[117]MACRO!$H$759</f>
        <v>-21978.175368574506</v>
      </c>
      <c r="BN28" s="314">
        <f>+[118]MACRO!$H$596+[118]MACRO!$H$759</f>
        <v>-21899.347532715699</v>
      </c>
      <c r="BO28" s="314">
        <f>+[119]MACRO!$H$596+[119]MACRO!$H$759</f>
        <v>-21524.755149111817</v>
      </c>
      <c r="BP28" s="314">
        <f>+[120]MACRO!$H$596+[120]MACRO!$H$759</f>
        <v>-20337.046249140745</v>
      </c>
      <c r="BQ28" s="314">
        <f>+[121]MACRO!$H$596+[121]MACRO!$H$759</f>
        <v>-18227.915448961969</v>
      </c>
      <c r="BR28" s="314">
        <f>+[122]MACRO!$H$596+[122]MACRO!$H$759</f>
        <v>-16491.21990776289</v>
      </c>
      <c r="BS28" s="314">
        <f>+[123]MACRO!$H$598+[123]MACRO!$H$761</f>
        <v>-17883.826489443578</v>
      </c>
      <c r="BT28" s="314">
        <f>+[124]MACRO!$H$598+[124]MACRO!$H$761</f>
        <v>-15478.798465175698</v>
      </c>
      <c r="BU28" s="314">
        <f>+[125]MACRO!$H$598+[125]MACRO!$H$761</f>
        <v>-16562.838324485376</v>
      </c>
      <c r="BV28" s="314">
        <f>+[72]MACRO!$H$598+[72]MACRO!$H$761</f>
        <v>-18414.279004845906</v>
      </c>
      <c r="BW28" s="314">
        <f>+[73]MACRO!$H$598+[73]MACRO!$H$761</f>
        <v>-20399.761212355115</v>
      </c>
      <c r="BX28" s="314">
        <f>+[74]MACRO!$H$598+[74]MACRO!$H$761</f>
        <v>-21103.408625352844</v>
      </c>
      <c r="BY28" s="314">
        <f>+[75]MACRO!$H$598+[75]MACRO!$H$761</f>
        <v>-25989.973565371525</v>
      </c>
      <c r="BZ28" s="314">
        <f>+[76]MACRO!$H$598+[76]MACRO!$H$761</f>
        <v>-81.124229179999986</v>
      </c>
      <c r="CA28" s="314">
        <f>+[77]MACRO!$H$599+[77]MACRO!$H$764</f>
        <v>-177.8320544</v>
      </c>
      <c r="CB28" s="314">
        <f>+[78]MACRO!$H$600+[78]MACRO!$H$765</f>
        <v>-23879.820517462191</v>
      </c>
      <c r="CC28" s="416">
        <f>+[79]MACRO!$H$600+[79]MACRO!$H$765</f>
        <v>-21947.13774926453</v>
      </c>
      <c r="CD28" s="416">
        <f>+[80]MACRO!$H$600+[80]MACRO!$H$765</f>
        <v>-22260.239400441555</v>
      </c>
      <c r="CE28" s="314">
        <f>+[81]MACRO!$H$600+[81]MACRO!$H$765</f>
        <v>-24123.568281066047</v>
      </c>
      <c r="CF28" s="416">
        <f>+[82]MACRO!$H$600+[82]MACRO!$H$765</f>
        <v>-22351.746659710025</v>
      </c>
      <c r="CG28" s="314">
        <f>+[83]MACRO!$H$600+[83]MACRO!$H$765</f>
        <v>-22319.243269579754</v>
      </c>
      <c r="CH28" s="314">
        <f>+[84]MACRO!$H$600+[84]MACRO!$H$765</f>
        <v>-24537.237464378526</v>
      </c>
      <c r="CI28" s="314">
        <f>+[85]MACRO!$H$600+[85]MACRO!$H$765</f>
        <v>-25193.270195770321</v>
      </c>
      <c r="CJ28" s="314">
        <f>+[86]MACRO!$H$600+[86]MACRO!$H$765</f>
        <v>-26132.471188982803</v>
      </c>
      <c r="CK28" s="314">
        <f>+[87]MACRO!$H$601+[87]MACRO!$H$766</f>
        <v>-32217.032079521738</v>
      </c>
      <c r="CL28" s="632">
        <f>+[88]MACRO!$H$601+[88]MACRO!$H$766</f>
        <v>-27262.39690550564</v>
      </c>
      <c r="CM28" s="653">
        <f>+[89]MACRO!$H$601+[89]MACRO!$H$766</f>
        <v>-26415.865393021861</v>
      </c>
      <c r="CN28" s="653">
        <v>5624.4747691864004</v>
      </c>
      <c r="CO28" s="653">
        <v>5635.3376826232006</v>
      </c>
      <c r="CP28" s="684">
        <f>[90]MACRO!$H$601+[90]MACRO!$H$766</f>
        <v>-21900.204752971207</v>
      </c>
      <c r="CQ28" s="684">
        <f>[91]MACRO!$H$601+[91]MACRO!$H$766</f>
        <v>5511.5381379586006</v>
      </c>
      <c r="CR28" s="632">
        <f>[92]MACRO!$H$601+[92]MACRO!$H$766</f>
        <v>5510.5030120494002</v>
      </c>
      <c r="CS28" s="684">
        <f>[93]MACRO!$H$602+[93]MACRO!$H$767</f>
        <v>5511.4286723254008</v>
      </c>
      <c r="CT28" s="694">
        <f>[126]MACRO!$H$602</f>
        <v>5510.7441179747993</v>
      </c>
      <c r="CU28" s="684">
        <f>[94]MACRO!$H$602</f>
        <v>5648.4679061049992</v>
      </c>
      <c r="CV28" s="684">
        <f>[95]MACRO!$H$608</f>
        <v>5737.7142475352002</v>
      </c>
      <c r="CW28" s="684">
        <f>[96]MACRO!$H$608</f>
        <v>5726.5567081673998</v>
      </c>
      <c r="CX28" s="684">
        <f>[97]MACRO!$H$608</f>
        <v>5509.6124379317998</v>
      </c>
      <c r="CY28" s="632">
        <f>[98]MACRO!$H$608</f>
        <v>5603.3203978791998</v>
      </c>
      <c r="CZ28" s="632">
        <f>[99]MACRO!$H$608</f>
        <v>5626.4157588523994</v>
      </c>
      <c r="DA28" s="684">
        <f>[100]MACRO!$H$608</f>
        <v>7671.5413592549994</v>
      </c>
      <c r="DB28" s="684">
        <f>[101]MACRO!$H$608</f>
        <v>7386.1557732742003</v>
      </c>
      <c r="DC28" s="684">
        <f>[102]MACRO!$H$608</f>
        <v>7724.6274949401986</v>
      </c>
      <c r="DD28" s="684">
        <f>[103]MACRO!$H$608</f>
        <v>7251.4369874847998</v>
      </c>
      <c r="DE28" s="684">
        <f>[104]MACRO!$H$608</f>
        <v>7220.4230209606003</v>
      </c>
      <c r="DF28" s="662">
        <f>[105]MACRO!$H$608</f>
        <v>7289.6527326052001</v>
      </c>
      <c r="DG28" s="684">
        <f>[106]MACRO!$H$608</f>
        <v>7126.7911872231989</v>
      </c>
      <c r="DH28" s="684">
        <f>[107]MACRO!$H$608</f>
        <v>7126.8448109733999</v>
      </c>
      <c r="DI28" s="662">
        <f>[108]MACRO!$H$608</f>
        <v>7127.2397977946002</v>
      </c>
      <c r="DJ28" s="662">
        <f>[109]MACRO!$H$608</f>
        <v>7127.2811073896</v>
      </c>
      <c r="DK28" s="662">
        <f>[110]MACRO!$H$608</f>
        <v>7127.2756491563996</v>
      </c>
      <c r="DL28" s="662">
        <f>[111]MACRO!$H$608</f>
        <v>7451.6532210639998</v>
      </c>
      <c r="DM28" s="662">
        <f>[112]MACRO!$H$608</f>
        <v>7282.476207213399</v>
      </c>
      <c r="DN28" s="331">
        <f>DM28-DH28</f>
        <v>155.63139623999905</v>
      </c>
      <c r="DO28" s="715">
        <f>(+(DM28/DH28-1))*100</f>
        <v>2.1837348836383885</v>
      </c>
      <c r="DP28" s="458"/>
      <c r="DQ28" s="703"/>
      <c r="DR28" s="269"/>
    </row>
    <row r="29" spans="1:125" ht="13.5" x14ac:dyDescent="0.2">
      <c r="A29" s="204"/>
      <c r="B29" s="89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685"/>
      <c r="DH29" s="685"/>
      <c r="DI29" s="629"/>
      <c r="DJ29" s="629"/>
      <c r="DK29" s="629"/>
      <c r="DL29" s="629"/>
      <c r="DM29" s="629"/>
      <c r="DN29" s="524"/>
      <c r="DO29" s="716"/>
      <c r="DP29" s="458"/>
      <c r="DQ29" s="263"/>
    </row>
    <row r="30" spans="1:125" x14ac:dyDescent="0.2">
      <c r="A30" s="204"/>
      <c r="B30" s="89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684">
        <v>66236.173051804115</v>
      </c>
      <c r="DH30" s="684">
        <v>66516.9823827941</v>
      </c>
      <c r="DI30" s="662">
        <v>66533.643010314117</v>
      </c>
      <c r="DJ30" s="662">
        <v>66589.523791144107</v>
      </c>
      <c r="DK30" s="662">
        <v>66589.879504024095</v>
      </c>
      <c r="DL30" s="662">
        <v>66880.152161504113</v>
      </c>
      <c r="DM30" s="662">
        <v>67859.590582994104</v>
      </c>
      <c r="DN30" s="331">
        <f>DM30-DH30</f>
        <v>1342.6082002000039</v>
      </c>
      <c r="DO30" s="715">
        <f>(+(DM30/DH30-1))*100</f>
        <v>2.0184442410112968</v>
      </c>
      <c r="DP30" s="695"/>
      <c r="DQ30" s="790"/>
      <c r="DR30" s="269"/>
    </row>
    <row r="31" spans="1:125" x14ac:dyDescent="0.2">
      <c r="A31" s="204"/>
      <c r="B31" s="89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684">
        <v>115474.03036391539</v>
      </c>
      <c r="DH31" s="684">
        <v>115305.65675868536</v>
      </c>
      <c r="DI31" s="662">
        <v>115197.06471525537</v>
      </c>
      <c r="DJ31" s="662">
        <v>115374.90948692539</v>
      </c>
      <c r="DK31" s="662">
        <v>115769.79075452535</v>
      </c>
      <c r="DL31" s="662">
        <v>116485.04609415538</v>
      </c>
      <c r="DM31" s="662">
        <v>118033.74281454537</v>
      </c>
      <c r="DN31" s="331">
        <f>DM31-DH31</f>
        <v>2728.0860558600107</v>
      </c>
      <c r="DO31" s="715">
        <f>(+(DM31/DH31-1))*100</f>
        <v>2.365960294185232</v>
      </c>
      <c r="DP31" s="695"/>
      <c r="DQ31" s="790"/>
      <c r="DR31" s="269"/>
    </row>
    <row r="32" spans="1:125" x14ac:dyDescent="0.2">
      <c r="A32" s="204"/>
      <c r="B32" s="89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684">
        <v>192873.89730471294</v>
      </c>
      <c r="DH32" s="684">
        <v>192883.07492700295</v>
      </c>
      <c r="DI32" s="662">
        <v>192773.65502802294</v>
      </c>
      <c r="DJ32" s="662">
        <v>193071.87699018294</v>
      </c>
      <c r="DK32" s="662">
        <v>193468.39433380292</v>
      </c>
      <c r="DL32" s="662">
        <v>194414.84970891295</v>
      </c>
      <c r="DM32" s="662">
        <v>195846.05374081293</v>
      </c>
      <c r="DN32" s="331">
        <f>DM32-DH32</f>
        <v>2962.978813809983</v>
      </c>
      <c r="DO32" s="715">
        <f>(+(DM32/DH32-1))*100</f>
        <v>1.5361528298588834</v>
      </c>
      <c r="DP32" s="695"/>
      <c r="DQ32" s="790"/>
      <c r="DR32" s="269"/>
    </row>
    <row r="33" spans="1:122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685"/>
      <c r="DH33" s="685"/>
      <c r="DI33" s="629"/>
      <c r="DJ33" s="629"/>
      <c r="DK33" s="629"/>
      <c r="DL33" s="629"/>
      <c r="DM33" s="629"/>
      <c r="DN33" s="524"/>
      <c r="DO33" s="864"/>
      <c r="DP33" s="458"/>
      <c r="DQ33" s="791"/>
    </row>
    <row r="34" spans="1:122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f>100*0.877740245240763</f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03">
        <v>89.186489239831985</v>
      </c>
      <c r="DH34" s="803">
        <v>89.388502446983892</v>
      </c>
      <c r="DI34" s="699">
        <v>89.380468886086646</v>
      </c>
      <c r="DJ34" s="699">
        <v>89.356122109611832</v>
      </c>
      <c r="DK34" s="699">
        <v>89.346091066478621</v>
      </c>
      <c r="DL34" s="699">
        <v>89.361437103703594</v>
      </c>
      <c r="DM34" s="699">
        <v>89.175994981185369</v>
      </c>
      <c r="DN34" s="331">
        <f>DM34-DH34</f>
        <v>-0.21250746579852375</v>
      </c>
      <c r="DO34" s="715">
        <f>(+(DM34/DH34-1))*100</f>
        <v>-0.23773467502105072</v>
      </c>
      <c r="DP34" s="695"/>
      <c r="DQ34" s="790"/>
    </row>
    <row r="35" spans="1:122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f>100*0.843559854595171</f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03">
        <v>83.765811353284363</v>
      </c>
      <c r="DH35" s="803">
        <v>83.852172168343145</v>
      </c>
      <c r="DI35" s="699">
        <v>83.861917580837613</v>
      </c>
      <c r="DJ35" s="699">
        <v>83.878374586147274</v>
      </c>
      <c r="DK35" s="699">
        <v>83.902672890867905</v>
      </c>
      <c r="DL35" s="699">
        <v>83.954506415067215</v>
      </c>
      <c r="DM35" s="699">
        <v>83.991956647522926</v>
      </c>
      <c r="DN35" s="331">
        <f>DM35-DH35</f>
        <v>0.13978447917978087</v>
      </c>
      <c r="DO35" s="715">
        <f>(+(DM35/DH35-1))*100</f>
        <v>0.16670346821683335</v>
      </c>
      <c r="DP35" s="695"/>
      <c r="DQ35" s="790"/>
    </row>
    <row r="36" spans="1:122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f>100*0.865907988938879</f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879">
        <v>87.717427134896795</v>
      </c>
      <c r="DG36" s="804">
        <v>87.722456023087076</v>
      </c>
      <c r="DH36" s="804">
        <v>87.810246617231599</v>
      </c>
      <c r="DI36" s="879">
        <v>87.821787855524491</v>
      </c>
      <c r="DJ36" s="879">
        <v>87.815107480263293</v>
      </c>
      <c r="DK36" s="732">
        <v>87.809384228227273</v>
      </c>
      <c r="DL36" s="732">
        <v>87.839525500860887</v>
      </c>
      <c r="DM36" s="732">
        <v>87.865015946696417</v>
      </c>
      <c r="DN36" s="529">
        <f>DM36-DH36</f>
        <v>5.4769329464818384E-2</v>
      </c>
      <c r="DO36" s="733">
        <f>(+(DM36/DH36-1))*100</f>
        <v>6.237236720625372E-2</v>
      </c>
      <c r="DP36" s="695"/>
      <c r="DQ36" s="790"/>
    </row>
    <row r="37" spans="1:122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40"/>
      <c r="DH37" s="840"/>
      <c r="DI37" s="702"/>
      <c r="DJ37" s="702"/>
      <c r="DK37" s="702"/>
      <c r="DL37" s="702"/>
      <c r="DM37" s="702"/>
      <c r="DN37" s="525" t="s">
        <v>3</v>
      </c>
      <c r="DO37" s="865"/>
      <c r="DP37" s="458"/>
      <c r="DQ37" s="263"/>
    </row>
    <row r="38" spans="1:122" ht="12.75" customHeight="1" x14ac:dyDescent="0.2">
      <c r="A38" s="204"/>
      <c r="B38" s="90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f>+N39+N42</f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396">
        <v>2463.9512013163258</v>
      </c>
      <c r="DH38" s="396">
        <v>2445.2771138527692</v>
      </c>
      <c r="DI38" s="404">
        <v>2445.2771138527692</v>
      </c>
      <c r="DJ38" s="404">
        <v>2445.2771138527692</v>
      </c>
      <c r="DK38" s="404">
        <v>2445.2771138527692</v>
      </c>
      <c r="DL38" s="404">
        <v>2445.2771138527692</v>
      </c>
      <c r="DM38" s="404">
        <v>2483.5161138527692</v>
      </c>
      <c r="DN38" s="331">
        <f t="shared" ref="DN38:DN52" si="11">DM38-DH38</f>
        <v>38.239000000000033</v>
      </c>
      <c r="DO38" s="715">
        <f t="shared" ref="DO38:DO52" si="12">(+(DM38/DH38-1))*100</f>
        <v>1.5637900417654782</v>
      </c>
      <c r="DP38" s="695"/>
      <c r="DQ38" s="603"/>
      <c r="DR38" s="269"/>
    </row>
    <row r="39" spans="1:122" x14ac:dyDescent="0.2">
      <c r="A39" s="204"/>
      <c r="B39" s="90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f>+N40/N85+N41</f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396">
        <v>1867.3762740524783</v>
      </c>
      <c r="DH39" s="396">
        <v>1865.288921282799</v>
      </c>
      <c r="DI39" s="404">
        <v>1865.288921282799</v>
      </c>
      <c r="DJ39" s="404">
        <v>1865.288921282799</v>
      </c>
      <c r="DK39" s="404">
        <v>1865.288921282799</v>
      </c>
      <c r="DL39" s="404">
        <v>1865.288921282799</v>
      </c>
      <c r="DM39" s="404">
        <v>1866.1165510204085</v>
      </c>
      <c r="DN39" s="331">
        <f t="shared" si="11"/>
        <v>0.8276297376094135</v>
      </c>
      <c r="DO39" s="715">
        <f t="shared" si="12"/>
        <v>4.4370055928943941E-2</v>
      </c>
      <c r="DP39" s="695"/>
      <c r="DQ39" s="263"/>
      <c r="DR39" s="269"/>
    </row>
    <row r="40" spans="1:122" ht="12.75" customHeight="1" x14ac:dyDescent="0.2">
      <c r="A40" s="204"/>
      <c r="B40" s="90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396">
        <v>12810.201240000002</v>
      </c>
      <c r="DH40" s="396">
        <v>12795.882000000001</v>
      </c>
      <c r="DI40" s="404">
        <v>12795.882000000001</v>
      </c>
      <c r="DJ40" s="404">
        <v>12795.882000000001</v>
      </c>
      <c r="DK40" s="404">
        <v>12795.882000000001</v>
      </c>
      <c r="DL40" s="404">
        <v>12795.882000000001</v>
      </c>
      <c r="DM40" s="404">
        <v>12801.559540000002</v>
      </c>
      <c r="DN40" s="331">
        <f t="shared" si="11"/>
        <v>5.6775400000005902</v>
      </c>
      <c r="DO40" s="715">
        <f t="shared" si="12"/>
        <v>4.4370055928943941E-2</v>
      </c>
      <c r="DP40" s="695"/>
      <c r="DQ40" s="263"/>
      <c r="DR40" s="269"/>
    </row>
    <row r="41" spans="1:122" ht="12.75" customHeight="1" x14ac:dyDescent="0.2">
      <c r="A41" s="204"/>
      <c r="B41" s="90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396">
        <v>0</v>
      </c>
      <c r="DH41" s="396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f t="shared" si="11"/>
        <v>0</v>
      </c>
      <c r="DO41" s="828" t="e">
        <f t="shared" si="12"/>
        <v>#DIV/0!</v>
      </c>
      <c r="DP41" s="695"/>
      <c r="DQ41" s="263"/>
      <c r="DR41" s="269"/>
    </row>
    <row r="42" spans="1:122" x14ac:dyDescent="0.2">
      <c r="A42" s="204"/>
      <c r="B42" s="90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f>+N43/N85+N45</f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396">
        <v>596.5749272638476</v>
      </c>
      <c r="DH42" s="396">
        <v>579.98819256997001</v>
      </c>
      <c r="DI42" s="404">
        <v>579.98819256997001</v>
      </c>
      <c r="DJ42" s="404">
        <v>579.98819256997001</v>
      </c>
      <c r="DK42" s="404">
        <v>579.98819256997001</v>
      </c>
      <c r="DL42" s="404">
        <v>579.98819256997001</v>
      </c>
      <c r="DM42" s="404">
        <v>617.39956283236063</v>
      </c>
      <c r="DN42" s="331">
        <f t="shared" si="11"/>
        <v>37.411370262390619</v>
      </c>
      <c r="DO42" s="715">
        <f t="shared" si="12"/>
        <v>6.4503675663840854</v>
      </c>
      <c r="DP42" s="695"/>
      <c r="DQ42" s="263"/>
      <c r="DR42" s="269"/>
    </row>
    <row r="43" spans="1:122" ht="13.5" x14ac:dyDescent="0.2">
      <c r="A43" s="204"/>
      <c r="B43" s="90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396">
        <v>4092.5040010299945</v>
      </c>
      <c r="DH43" s="396">
        <v>3978.7190010299946</v>
      </c>
      <c r="DI43" s="404">
        <v>3978.7190010299946</v>
      </c>
      <c r="DJ43" s="404">
        <v>3978.7190010299946</v>
      </c>
      <c r="DK43" s="404">
        <v>3978.7190010299946</v>
      </c>
      <c r="DL43" s="404">
        <v>3978.7190010299946</v>
      </c>
      <c r="DM43" s="404">
        <v>4235.3610010299944</v>
      </c>
      <c r="DN43" s="331">
        <f t="shared" si="11"/>
        <v>256.64199999999983</v>
      </c>
      <c r="DO43" s="715">
        <f t="shared" si="12"/>
        <v>6.4503675663840854</v>
      </c>
      <c r="DP43" s="695"/>
      <c r="DQ43" s="263"/>
      <c r="DR43" s="269"/>
    </row>
    <row r="44" spans="1:122" ht="12.75" customHeight="1" x14ac:dyDescent="0.2">
      <c r="A44" s="204"/>
      <c r="B44" s="90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396">
        <v>1380.2360010299994</v>
      </c>
      <c r="DH44" s="396">
        <v>1316.4510010299996</v>
      </c>
      <c r="DI44" s="404">
        <v>1316.4510010299996</v>
      </c>
      <c r="DJ44" s="404">
        <v>1316.4510010299996</v>
      </c>
      <c r="DK44" s="404">
        <v>1316.4510010299996</v>
      </c>
      <c r="DL44" s="404">
        <v>1316.4510010299996</v>
      </c>
      <c r="DM44" s="404">
        <v>1273.0930010299996</v>
      </c>
      <c r="DN44" s="331">
        <f t="shared" si="11"/>
        <v>-43.357999999999947</v>
      </c>
      <c r="DO44" s="715">
        <f t="shared" si="12"/>
        <v>-3.2935521311523441</v>
      </c>
      <c r="DP44" s="695"/>
      <c r="DQ44" s="263"/>
      <c r="DR44" s="269"/>
    </row>
    <row r="45" spans="1:122" x14ac:dyDescent="0.2">
      <c r="A45" s="204"/>
      <c r="B45" s="90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396">
        <v>0</v>
      </c>
      <c r="DH45" s="396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f t="shared" si="11"/>
        <v>0</v>
      </c>
      <c r="DO45" s="810" t="e">
        <f t="shared" si="12"/>
        <v>#DIV/0!</v>
      </c>
      <c r="DP45" s="695"/>
      <c r="DQ45" s="263"/>
    </row>
    <row r="46" spans="1:122" x14ac:dyDescent="0.2">
      <c r="A46" s="204"/>
      <c r="B46" s="901"/>
      <c r="C46" s="17"/>
      <c r="D46" s="22" t="s">
        <v>26</v>
      </c>
      <c r="E46" s="109">
        <f t="shared" ref="E46:K46" si="13">+E47+E50</f>
        <v>3.5868005738880919</v>
      </c>
      <c r="F46" s="109">
        <f t="shared" si="13"/>
        <v>0</v>
      </c>
      <c r="G46" s="109">
        <f t="shared" si="13"/>
        <v>4.3294978479196553</v>
      </c>
      <c r="H46" s="109">
        <f t="shared" si="13"/>
        <v>0</v>
      </c>
      <c r="I46" s="109">
        <f t="shared" si="13"/>
        <v>0</v>
      </c>
      <c r="J46" s="109">
        <f t="shared" si="13"/>
        <v>5.7388809182209476E-2</v>
      </c>
      <c r="K46" s="109">
        <f t="shared" si="13"/>
        <v>0</v>
      </c>
      <c r="L46" s="109">
        <f>+L47+L50</f>
        <v>0</v>
      </c>
      <c r="M46" s="108">
        <f>+M47+M50</f>
        <v>0.03</v>
      </c>
      <c r="N46" s="109">
        <f>+N47+N50</f>
        <v>0.02</v>
      </c>
      <c r="O46" s="109">
        <f>+O47+O50</f>
        <v>0.02</v>
      </c>
      <c r="P46" s="158">
        <v>0.02</v>
      </c>
      <c r="Q46" s="109">
        <v>0.02</v>
      </c>
      <c r="R46" s="109">
        <f t="shared" ref="R46:Y46" si="14">+R47+R50</f>
        <v>0</v>
      </c>
      <c r="S46" s="174">
        <f t="shared" si="14"/>
        <v>0</v>
      </c>
      <c r="T46" s="174">
        <f t="shared" si="14"/>
        <v>0</v>
      </c>
      <c r="U46" s="174">
        <f t="shared" si="14"/>
        <v>0</v>
      </c>
      <c r="V46" s="174">
        <f t="shared" si="14"/>
        <v>0</v>
      </c>
      <c r="W46" s="174">
        <f t="shared" si="14"/>
        <v>0</v>
      </c>
      <c r="X46" s="174">
        <f t="shared" si="14"/>
        <v>0</v>
      </c>
      <c r="Y46" s="174">
        <f t="shared" si="14"/>
        <v>0</v>
      </c>
      <c r="Z46" s="174">
        <v>0</v>
      </c>
      <c r="AA46" s="174">
        <f>+AA47+AA50</f>
        <v>0</v>
      </c>
      <c r="AB46" s="174">
        <f>+AB47+AB50</f>
        <v>9.5504655172413792E-3</v>
      </c>
      <c r="AC46" s="174">
        <f>+AC47+AC50</f>
        <v>15.950432276657061</v>
      </c>
      <c r="AD46" s="174">
        <v>0</v>
      </c>
      <c r="AE46" s="174">
        <v>0</v>
      </c>
      <c r="AF46" s="174">
        <f t="shared" ref="AF46:AL46" si="15">+AF47+AF50</f>
        <v>0</v>
      </c>
      <c r="AG46" s="174">
        <f t="shared" si="15"/>
        <v>3.6269956458635702</v>
      </c>
      <c r="AH46" s="174">
        <f t="shared" si="15"/>
        <v>18.143686502177069</v>
      </c>
      <c r="AI46" s="174">
        <f t="shared" si="15"/>
        <v>0</v>
      </c>
      <c r="AJ46" s="174">
        <f t="shared" si="15"/>
        <v>7.2765647743813684</v>
      </c>
      <c r="AK46" s="174">
        <f t="shared" si="15"/>
        <v>0</v>
      </c>
      <c r="AL46" s="174">
        <f t="shared" si="15"/>
        <v>0</v>
      </c>
      <c r="AM46" s="174">
        <v>0</v>
      </c>
      <c r="AN46" s="174">
        <v>0</v>
      </c>
      <c r="AO46" s="174">
        <f>+AO47+AO50</f>
        <v>0</v>
      </c>
      <c r="AP46" s="174">
        <v>0</v>
      </c>
      <c r="AQ46" s="300">
        <f t="shared" ref="AQ46:BA46" si="16">+AQ47+AQ50</f>
        <v>0</v>
      </c>
      <c r="AR46" s="300">
        <f t="shared" si="16"/>
        <v>0</v>
      </c>
      <c r="AS46" s="300">
        <f t="shared" si="16"/>
        <v>0</v>
      </c>
      <c r="AT46" s="174">
        <f t="shared" si="16"/>
        <v>0.40466472303207002</v>
      </c>
      <c r="AU46" s="300">
        <f t="shared" si="16"/>
        <v>1.2771137026239066E-3</v>
      </c>
      <c r="AV46" s="322">
        <f t="shared" si="16"/>
        <v>1.2771137026239066E-3</v>
      </c>
      <c r="AW46" s="174">
        <f t="shared" si="16"/>
        <v>0.15</v>
      </c>
      <c r="AX46" s="174">
        <f t="shared" si="16"/>
        <v>0</v>
      </c>
      <c r="AY46" s="174">
        <f t="shared" si="16"/>
        <v>0</v>
      </c>
      <c r="AZ46" s="174">
        <f t="shared" si="16"/>
        <v>0</v>
      </c>
      <c r="BA46" s="174">
        <f t="shared" si="16"/>
        <v>0.5</v>
      </c>
      <c r="BB46" s="174">
        <f t="shared" ref="BB46:BI46" si="17">+BB47+BB50</f>
        <v>0.9</v>
      </c>
      <c r="BC46" s="174">
        <f t="shared" si="17"/>
        <v>0.9</v>
      </c>
      <c r="BD46" s="174">
        <f t="shared" si="17"/>
        <v>1.1000000000000001</v>
      </c>
      <c r="BE46" s="174">
        <f t="shared" si="17"/>
        <v>0.35</v>
      </c>
      <c r="BF46" s="174">
        <f t="shared" si="17"/>
        <v>0.2</v>
      </c>
      <c r="BG46" s="174">
        <f t="shared" si="17"/>
        <v>8.7463556851311949E-2</v>
      </c>
      <c r="BH46" s="174">
        <f t="shared" si="17"/>
        <v>0.13119533527696792</v>
      </c>
      <c r="BI46" s="174">
        <f t="shared" si="17"/>
        <v>0.64577259475218662</v>
      </c>
      <c r="BJ46" s="174">
        <f t="shared" ref="BJ46:BR46" si="18">+BJ47+BJ50</f>
        <v>0.35</v>
      </c>
      <c r="BK46" s="174">
        <f t="shared" si="18"/>
        <v>0</v>
      </c>
      <c r="BL46" s="390">
        <f t="shared" si="18"/>
        <v>42.889775510204082</v>
      </c>
      <c r="BM46" s="390">
        <f t="shared" si="18"/>
        <v>0.2</v>
      </c>
      <c r="BN46" s="300">
        <f t="shared" si="18"/>
        <v>0.55000000000000004</v>
      </c>
      <c r="BO46" s="300">
        <f t="shared" si="18"/>
        <v>0.6</v>
      </c>
      <c r="BP46" s="300">
        <f t="shared" si="18"/>
        <v>23.377157208454815</v>
      </c>
      <c r="BQ46" s="300">
        <f t="shared" si="18"/>
        <v>118.84701221574343</v>
      </c>
      <c r="BR46" s="318">
        <f t="shared" si="18"/>
        <v>167.33179602623909</v>
      </c>
      <c r="BS46" s="403">
        <f t="shared" ref="BS46:CK46" si="19">+BS47+BS50</f>
        <v>120.92988466034986</v>
      </c>
      <c r="BT46" s="318">
        <f t="shared" si="19"/>
        <v>209.33883865597659</v>
      </c>
      <c r="BU46" s="434">
        <f t="shared" si="19"/>
        <v>87.879145138483906</v>
      </c>
      <c r="BV46" s="434">
        <f t="shared" si="19"/>
        <v>0.49577259475218655</v>
      </c>
      <c r="BW46" s="434">
        <f t="shared" si="19"/>
        <v>67.394652016034996</v>
      </c>
      <c r="BX46" s="434">
        <f t="shared" si="19"/>
        <v>0.24577259475218657</v>
      </c>
      <c r="BY46" s="318">
        <f t="shared" si="19"/>
        <v>14.107194333819198</v>
      </c>
      <c r="BZ46" s="434">
        <f t="shared" si="19"/>
        <v>0.45</v>
      </c>
      <c r="CA46" s="434">
        <f t="shared" si="19"/>
        <v>0.3</v>
      </c>
      <c r="CB46" s="318">
        <f t="shared" si="19"/>
        <v>0.40408163265306118</v>
      </c>
      <c r="CC46" s="434">
        <f t="shared" si="19"/>
        <v>72.245680758017485</v>
      </c>
      <c r="CD46" s="318">
        <f t="shared" si="19"/>
        <v>0.6</v>
      </c>
      <c r="CE46" s="318">
        <f t="shared" si="19"/>
        <v>0.55000000000000004</v>
      </c>
      <c r="CF46" s="318">
        <f t="shared" si="19"/>
        <v>0.4</v>
      </c>
      <c r="CG46" s="318">
        <f t="shared" si="19"/>
        <v>0.35</v>
      </c>
      <c r="CH46" s="318">
        <f t="shared" si="19"/>
        <v>0.71</v>
      </c>
      <c r="CI46" s="318">
        <f t="shared" si="19"/>
        <v>0.6426822157434402</v>
      </c>
      <c r="CJ46" s="318">
        <f t="shared" si="19"/>
        <v>0.62830903790087456</v>
      </c>
      <c r="CK46" s="318">
        <f t="shared" si="19"/>
        <v>0.65</v>
      </c>
      <c r="CL46" s="638">
        <f>+CL47+CL50</f>
        <v>0.38749271137026237</v>
      </c>
      <c r="CM46" s="638">
        <f>+CM47+CM50</f>
        <v>16.167346938775509</v>
      </c>
      <c r="CN46" s="638">
        <v>16.273007234693875</v>
      </c>
      <c r="CO46" s="638">
        <v>17.827638483965014</v>
      </c>
      <c r="CP46" s="686">
        <f>+CP47+CP50</f>
        <v>0.37492711370262433</v>
      </c>
      <c r="CQ46" s="686">
        <f>+CQ47+CQ50</f>
        <v>0</v>
      </c>
      <c r="CR46" s="638">
        <f>+CR47+CR50</f>
        <v>0</v>
      </c>
      <c r="CS46" s="686">
        <f>+CS47+CS50</f>
        <v>0.13078717201166179</v>
      </c>
      <c r="CT46" s="707">
        <v>7.3309037900874632E-2</v>
      </c>
      <c r="CU46" s="686">
        <f>+CU47+CU50</f>
        <v>20.174927113702623</v>
      </c>
      <c r="CV46" s="686">
        <f>+CV47+CV50</f>
        <v>33.221574344023324</v>
      </c>
      <c r="CW46" s="686">
        <f t="shared" ref="CW46:CZ46" si="20">+CW47+CW50</f>
        <v>31.641107871720116</v>
      </c>
      <c r="CX46" s="686">
        <f t="shared" si="20"/>
        <v>0</v>
      </c>
      <c r="CY46" s="638">
        <f t="shared" si="20"/>
        <v>13.669096209912535</v>
      </c>
      <c r="CZ46" s="638">
        <f t="shared" si="20"/>
        <v>17.028104956268219</v>
      </c>
      <c r="DA46" s="686">
        <f>+DA47+DA50</f>
        <v>315.01621045626825</v>
      </c>
      <c r="DB46" s="686">
        <f t="shared" ref="DB46:DH46" si="21">+DB47+DB50</f>
        <v>230.18556851311956</v>
      </c>
      <c r="DC46" s="686">
        <f t="shared" si="21"/>
        <v>167.03699149125362</v>
      </c>
      <c r="DD46" s="686">
        <f t="shared" si="21"/>
        <v>19.314670641399417</v>
      </c>
      <c r="DE46" s="686">
        <f t="shared" si="21"/>
        <v>13.774251744897834</v>
      </c>
      <c r="DF46" s="664">
        <f t="shared" si="21"/>
        <v>23.88044622303207</v>
      </c>
      <c r="DG46" s="686">
        <f t="shared" si="21"/>
        <v>0.14577259475218657</v>
      </c>
      <c r="DH46" s="686">
        <f t="shared" si="21"/>
        <v>0.14577259475218657</v>
      </c>
      <c r="DI46" s="664">
        <f t="shared" ref="DI46:DJ46" si="22">+DI47+DI50</f>
        <v>0.18950437317784255</v>
      </c>
      <c r="DJ46" s="664">
        <f t="shared" si="22"/>
        <v>0.18950437317784255</v>
      </c>
      <c r="DK46" s="664">
        <f t="shared" ref="DK46:DM46" si="23">+DK47+DK50</f>
        <v>0.18950437317784255</v>
      </c>
      <c r="DL46" s="664">
        <f t="shared" ref="DL46" si="24">+DL47+DL50</f>
        <v>47.481129737609329</v>
      </c>
      <c r="DM46" s="664">
        <f t="shared" si="23"/>
        <v>22.819322157434403</v>
      </c>
      <c r="DN46" s="331">
        <f t="shared" si="11"/>
        <v>22.673549562682215</v>
      </c>
      <c r="DO46" s="715">
        <f t="shared" si="12"/>
        <v>15554.055000000002</v>
      </c>
      <c r="DP46" s="458"/>
      <c r="DQ46" s="263"/>
    </row>
    <row r="47" spans="1:122" x14ac:dyDescent="0.2">
      <c r="A47" s="204"/>
      <c r="B47" s="901"/>
      <c r="C47" s="17"/>
      <c r="D47" s="22" t="s">
        <v>15</v>
      </c>
      <c r="E47" s="109">
        <f t="shared" ref="E47:AL47" si="25">+E48/E$85+E49</f>
        <v>0</v>
      </c>
      <c r="F47" s="109">
        <f t="shared" si="25"/>
        <v>0</v>
      </c>
      <c r="G47" s="109">
        <f t="shared" si="25"/>
        <v>0.78</v>
      </c>
      <c r="H47" s="109">
        <f t="shared" si="25"/>
        <v>0</v>
      </c>
      <c r="I47" s="109">
        <f t="shared" si="25"/>
        <v>0</v>
      </c>
      <c r="J47" s="109">
        <f t="shared" si="25"/>
        <v>5.7388809182209476E-2</v>
      </c>
      <c r="K47" s="109">
        <f t="shared" si="25"/>
        <v>0</v>
      </c>
      <c r="L47" s="109">
        <f t="shared" si="25"/>
        <v>0</v>
      </c>
      <c r="M47" s="108">
        <f t="shared" si="25"/>
        <v>0.03</v>
      </c>
      <c r="N47" s="109">
        <f t="shared" si="25"/>
        <v>0.02</v>
      </c>
      <c r="O47" s="109">
        <f t="shared" si="25"/>
        <v>0.02</v>
      </c>
      <c r="P47" s="158">
        <f t="shared" si="25"/>
        <v>0</v>
      </c>
      <c r="Q47" s="109">
        <f t="shared" si="25"/>
        <v>0</v>
      </c>
      <c r="R47" s="109">
        <f t="shared" si="25"/>
        <v>0</v>
      </c>
      <c r="S47" s="174">
        <f t="shared" si="25"/>
        <v>0</v>
      </c>
      <c r="T47" s="174">
        <f t="shared" si="25"/>
        <v>0</v>
      </c>
      <c r="U47" s="174">
        <f t="shared" si="25"/>
        <v>0</v>
      </c>
      <c r="V47" s="174">
        <f t="shared" si="25"/>
        <v>0</v>
      </c>
      <c r="W47" s="174">
        <f t="shared" si="25"/>
        <v>0</v>
      </c>
      <c r="X47" s="174">
        <f t="shared" si="25"/>
        <v>0</v>
      </c>
      <c r="Y47" s="174">
        <f t="shared" si="25"/>
        <v>0</v>
      </c>
      <c r="Z47" s="174">
        <f t="shared" si="25"/>
        <v>0</v>
      </c>
      <c r="AA47" s="174">
        <f t="shared" si="25"/>
        <v>0</v>
      </c>
      <c r="AB47" s="174">
        <f t="shared" si="25"/>
        <v>9.5504655172413792E-3</v>
      </c>
      <c r="AC47" s="174">
        <f t="shared" si="25"/>
        <v>15.950432276657061</v>
      </c>
      <c r="AD47" s="174">
        <f t="shared" si="25"/>
        <v>0</v>
      </c>
      <c r="AE47" s="174">
        <f t="shared" si="25"/>
        <v>0</v>
      </c>
      <c r="AF47" s="174">
        <f t="shared" si="25"/>
        <v>0</v>
      </c>
      <c r="AG47" s="174">
        <f t="shared" si="25"/>
        <v>0</v>
      </c>
      <c r="AH47" s="174">
        <f t="shared" si="25"/>
        <v>4.3541364296081275E-3</v>
      </c>
      <c r="AI47" s="174">
        <f t="shared" si="25"/>
        <v>0</v>
      </c>
      <c r="AJ47" s="174">
        <f t="shared" si="25"/>
        <v>7.2765647743813684</v>
      </c>
      <c r="AK47" s="174">
        <f t="shared" si="25"/>
        <v>0</v>
      </c>
      <c r="AL47" s="174">
        <f t="shared" si="25"/>
        <v>0</v>
      </c>
      <c r="AM47" s="174">
        <v>0</v>
      </c>
      <c r="AN47" s="174">
        <v>0</v>
      </c>
      <c r="AO47" s="174">
        <f>+AO48/AO$85+AO49</f>
        <v>0</v>
      </c>
      <c r="AP47" s="174">
        <v>0</v>
      </c>
      <c r="AQ47" s="174">
        <v>0</v>
      </c>
      <c r="AR47" s="174">
        <f t="shared" ref="AR47:BV47" si="26">+AR48/AR$85+AR49</f>
        <v>0</v>
      </c>
      <c r="AS47" s="174">
        <f t="shared" si="26"/>
        <v>0</v>
      </c>
      <c r="AT47" s="174">
        <f t="shared" si="26"/>
        <v>0.40466472303207002</v>
      </c>
      <c r="AU47" s="174">
        <f t="shared" si="26"/>
        <v>1.2771137026239066E-3</v>
      </c>
      <c r="AV47" s="322">
        <f t="shared" si="26"/>
        <v>1.2771137026239066E-3</v>
      </c>
      <c r="AW47" s="174">
        <f t="shared" si="26"/>
        <v>0.15</v>
      </c>
      <c r="AX47" s="174">
        <f t="shared" si="26"/>
        <v>0</v>
      </c>
      <c r="AY47" s="174">
        <f t="shared" si="26"/>
        <v>0</v>
      </c>
      <c r="AZ47" s="174">
        <f t="shared" si="26"/>
        <v>0</v>
      </c>
      <c r="BA47" s="174">
        <f t="shared" si="26"/>
        <v>0.5</v>
      </c>
      <c r="BB47" s="174">
        <f t="shared" si="26"/>
        <v>0.9</v>
      </c>
      <c r="BC47" s="174">
        <f t="shared" si="26"/>
        <v>0.9</v>
      </c>
      <c r="BD47" s="174">
        <f t="shared" si="26"/>
        <v>1.1000000000000001</v>
      </c>
      <c r="BE47" s="174">
        <f t="shared" si="26"/>
        <v>0.35</v>
      </c>
      <c r="BF47" s="174">
        <f t="shared" si="26"/>
        <v>0.2</v>
      </c>
      <c r="BG47" s="174">
        <f t="shared" si="26"/>
        <v>8.7463556851311949E-2</v>
      </c>
      <c r="BH47" s="174">
        <f t="shared" si="26"/>
        <v>0.13119533527696792</v>
      </c>
      <c r="BI47" s="174">
        <f t="shared" si="26"/>
        <v>0.64577259475218662</v>
      </c>
      <c r="BJ47" s="174">
        <f t="shared" si="26"/>
        <v>0.35</v>
      </c>
      <c r="BK47" s="174">
        <f t="shared" si="26"/>
        <v>0</v>
      </c>
      <c r="BL47" s="390">
        <f t="shared" si="26"/>
        <v>0.2</v>
      </c>
      <c r="BM47" s="390">
        <f t="shared" si="26"/>
        <v>0.2</v>
      </c>
      <c r="BN47" s="300">
        <f t="shared" si="26"/>
        <v>0.55000000000000004</v>
      </c>
      <c r="BO47" s="300">
        <f t="shared" si="26"/>
        <v>0.6</v>
      </c>
      <c r="BP47" s="300">
        <f t="shared" si="26"/>
        <v>1.1000000000000001</v>
      </c>
      <c r="BQ47" s="300">
        <f t="shared" si="26"/>
        <v>0.7</v>
      </c>
      <c r="BR47" s="318">
        <f t="shared" si="26"/>
        <v>0.47288629737609333</v>
      </c>
      <c r="BS47" s="403">
        <f t="shared" si="26"/>
        <v>0.25</v>
      </c>
      <c r="BT47" s="318">
        <f t="shared" si="26"/>
        <v>0</v>
      </c>
      <c r="BU47" s="434">
        <f t="shared" si="26"/>
        <v>5.0736151603498545</v>
      </c>
      <c r="BV47" s="434">
        <f t="shared" si="26"/>
        <v>0.49577259475218655</v>
      </c>
      <c r="BW47" s="434">
        <f t="shared" ref="BW47:CK47" si="27">+BW48/BW$85+BW49</f>
        <v>0.35830903790087465</v>
      </c>
      <c r="BX47" s="434">
        <f t="shared" si="27"/>
        <v>0.24577259475218657</v>
      </c>
      <c r="BY47" s="318">
        <f t="shared" si="27"/>
        <v>5.0606413994169088</v>
      </c>
      <c r="BZ47" s="434">
        <f t="shared" si="27"/>
        <v>0.45</v>
      </c>
      <c r="CA47" s="434">
        <f t="shared" si="27"/>
        <v>0.3</v>
      </c>
      <c r="CB47" s="318">
        <f t="shared" si="27"/>
        <v>0.40408163265306118</v>
      </c>
      <c r="CC47" s="434">
        <f t="shared" si="27"/>
        <v>0.7</v>
      </c>
      <c r="CD47" s="318">
        <f t="shared" si="27"/>
        <v>0.6</v>
      </c>
      <c r="CE47" s="318">
        <f t="shared" si="27"/>
        <v>0.55000000000000004</v>
      </c>
      <c r="CF47" s="318">
        <f t="shared" si="27"/>
        <v>0.4</v>
      </c>
      <c r="CG47" s="318">
        <f t="shared" si="27"/>
        <v>0.35</v>
      </c>
      <c r="CH47" s="318">
        <f t="shared" si="27"/>
        <v>0.71</v>
      </c>
      <c r="CI47" s="318">
        <f t="shared" si="27"/>
        <v>0.6426822157434402</v>
      </c>
      <c r="CJ47" s="318">
        <f t="shared" si="27"/>
        <v>0.62830903790087456</v>
      </c>
      <c r="CK47" s="318">
        <f t="shared" si="27"/>
        <v>0.65</v>
      </c>
      <c r="CL47" s="638">
        <f>+CL48/CL$85+CL49</f>
        <v>0.38749271137026237</v>
      </c>
      <c r="CM47" s="638">
        <f>+CM48/CM$85+CM49</f>
        <v>16.167346938775509</v>
      </c>
      <c r="CN47" s="638">
        <v>16.273007234693875</v>
      </c>
      <c r="CO47" s="638">
        <v>17.827638483965014</v>
      </c>
      <c r="CP47" s="686">
        <f>+CP48/CP$85+CP49</f>
        <v>0.37492711370262433</v>
      </c>
      <c r="CQ47" s="686">
        <f>+CQ48/CQ$85+CQ49</f>
        <v>0</v>
      </c>
      <c r="CR47" s="638">
        <f>+CR48/CR$85+CR49</f>
        <v>0</v>
      </c>
      <c r="CS47" s="686">
        <f>+CS48/CS$85+CS49</f>
        <v>0.13078717201166179</v>
      </c>
      <c r="CT47" s="707">
        <v>7.3309037900874632E-2</v>
      </c>
      <c r="CU47" s="686">
        <f>+CU48/CU$85+CU49</f>
        <v>20.174927113702623</v>
      </c>
      <c r="CV47" s="686">
        <f>+CV48/CV$85+CV49</f>
        <v>33.221574344023324</v>
      </c>
      <c r="CW47" s="686">
        <f t="shared" ref="CW47:CZ47" si="28">+CW48/CW$85+CW49</f>
        <v>31.641107871720116</v>
      </c>
      <c r="CX47" s="686">
        <f t="shared" si="28"/>
        <v>0</v>
      </c>
      <c r="CY47" s="638">
        <f t="shared" si="28"/>
        <v>0</v>
      </c>
      <c r="CZ47" s="638">
        <f t="shared" si="28"/>
        <v>0</v>
      </c>
      <c r="DA47" s="686">
        <f>+DA48/DA$85+DA49</f>
        <v>48.51137026239067</v>
      </c>
      <c r="DB47" s="686">
        <f t="shared" ref="DB47:DH47" si="29">+DB48/DB$85+DB49</f>
        <v>1.4577259475218658</v>
      </c>
      <c r="DC47" s="686">
        <f t="shared" si="29"/>
        <v>24.618075801749271</v>
      </c>
      <c r="DD47" s="686">
        <f t="shared" si="29"/>
        <v>0.18950437317784255</v>
      </c>
      <c r="DE47" s="686">
        <f t="shared" si="29"/>
        <v>0.23032069970845481</v>
      </c>
      <c r="DF47" s="664">
        <f t="shared" si="29"/>
        <v>0.18950437317784255</v>
      </c>
      <c r="DG47" s="686">
        <f t="shared" si="29"/>
        <v>0.14577259475218657</v>
      </c>
      <c r="DH47" s="686">
        <f t="shared" si="29"/>
        <v>0.14577259475218657</v>
      </c>
      <c r="DI47" s="664">
        <f t="shared" ref="DI47:DJ47" si="30">+DI48/DI$85+DI49</f>
        <v>0.18950437317784255</v>
      </c>
      <c r="DJ47" s="664">
        <f t="shared" si="30"/>
        <v>0.18950437317784255</v>
      </c>
      <c r="DK47" s="664">
        <f t="shared" ref="DK47:DM47" si="31">+DK48/DK$85+DK49</f>
        <v>0.18950437317784255</v>
      </c>
      <c r="DL47" s="664">
        <f t="shared" ref="DL47" si="32">+DL48/DL$85+DL49</f>
        <v>24.85131195335277</v>
      </c>
      <c r="DM47" s="664">
        <f t="shared" si="31"/>
        <v>0.18950437317784255</v>
      </c>
      <c r="DN47" s="331">
        <f t="shared" si="11"/>
        <v>4.3731778425655982E-2</v>
      </c>
      <c r="DO47" s="715">
        <f t="shared" si="12"/>
        <v>30.000000000000004</v>
      </c>
      <c r="DP47" s="458"/>
      <c r="DQ47" s="603"/>
    </row>
    <row r="48" spans="1:122" ht="12.75" customHeight="1" outlineLevel="1" x14ac:dyDescent="0.2">
      <c r="A48" s="204"/>
      <c r="B48" s="90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686">
        <v>1</v>
      </c>
      <c r="DH48" s="686">
        <v>1</v>
      </c>
      <c r="DI48" s="664">
        <v>1.3</v>
      </c>
      <c r="DJ48" s="664">
        <v>1.3</v>
      </c>
      <c r="DK48" s="664">
        <v>1.3</v>
      </c>
      <c r="DL48" s="664">
        <v>81.3</v>
      </c>
      <c r="DM48" s="664">
        <v>1.3</v>
      </c>
      <c r="DN48" s="331">
        <f t="shared" si="11"/>
        <v>0.30000000000000004</v>
      </c>
      <c r="DO48" s="715">
        <f t="shared" si="12"/>
        <v>30.000000000000004</v>
      </c>
      <c r="DP48" s="720"/>
      <c r="DQ48" s="603"/>
    </row>
    <row r="49" spans="1:124" ht="12.75" customHeight="1" outlineLevel="1" x14ac:dyDescent="0.2">
      <c r="A49" s="204"/>
      <c r="B49" s="90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686">
        <v>0</v>
      </c>
      <c r="DH49" s="686">
        <v>0</v>
      </c>
      <c r="DI49" s="664">
        <v>0</v>
      </c>
      <c r="DJ49" s="664">
        <v>0</v>
      </c>
      <c r="DK49" s="664">
        <v>0</v>
      </c>
      <c r="DL49" s="664">
        <v>13</v>
      </c>
      <c r="DM49" s="664">
        <v>0</v>
      </c>
      <c r="DN49" s="331">
        <f t="shared" si="11"/>
        <v>0</v>
      </c>
      <c r="DO49" s="828" t="e">
        <f t="shared" si="12"/>
        <v>#DIV/0!</v>
      </c>
      <c r="DP49" s="458"/>
      <c r="DQ49" s="603"/>
    </row>
    <row r="50" spans="1:124" x14ac:dyDescent="0.2">
      <c r="A50" s="204"/>
      <c r="B50" s="901"/>
      <c r="C50" s="17"/>
      <c r="D50" s="22" t="s">
        <v>30</v>
      </c>
      <c r="E50" s="109">
        <f t="shared" ref="E50:AI50" si="33">+E51/E$85+E52</f>
        <v>3.5868005738880919</v>
      </c>
      <c r="F50" s="109">
        <f t="shared" si="33"/>
        <v>0</v>
      </c>
      <c r="G50" s="109">
        <f t="shared" si="33"/>
        <v>3.5494978479196555</v>
      </c>
      <c r="H50" s="109">
        <f t="shared" si="33"/>
        <v>0</v>
      </c>
      <c r="I50" s="109">
        <f t="shared" si="33"/>
        <v>0</v>
      </c>
      <c r="J50" s="109">
        <f t="shared" si="33"/>
        <v>0</v>
      </c>
      <c r="K50" s="109">
        <f t="shared" si="33"/>
        <v>0</v>
      </c>
      <c r="L50" s="109">
        <f t="shared" si="33"/>
        <v>0</v>
      </c>
      <c r="M50" s="108">
        <f t="shared" si="33"/>
        <v>0</v>
      </c>
      <c r="N50" s="109">
        <f t="shared" si="33"/>
        <v>0</v>
      </c>
      <c r="O50" s="109">
        <f t="shared" si="33"/>
        <v>0</v>
      </c>
      <c r="P50" s="158">
        <f t="shared" si="33"/>
        <v>0</v>
      </c>
      <c r="Q50" s="109">
        <f t="shared" si="33"/>
        <v>0</v>
      </c>
      <c r="R50" s="109">
        <f t="shared" si="33"/>
        <v>0</v>
      </c>
      <c r="S50" s="174">
        <f t="shared" si="33"/>
        <v>0</v>
      </c>
      <c r="T50" s="174">
        <f t="shared" si="33"/>
        <v>0</v>
      </c>
      <c r="U50" s="174">
        <f t="shared" si="33"/>
        <v>0</v>
      </c>
      <c r="V50" s="174">
        <f t="shared" si="33"/>
        <v>0</v>
      </c>
      <c r="W50" s="174">
        <f t="shared" si="33"/>
        <v>0</v>
      </c>
      <c r="X50" s="174">
        <f t="shared" si="33"/>
        <v>0</v>
      </c>
      <c r="Y50" s="174">
        <f t="shared" si="33"/>
        <v>0</v>
      </c>
      <c r="Z50" s="174">
        <f t="shared" si="33"/>
        <v>0</v>
      </c>
      <c r="AA50" s="174">
        <f t="shared" si="33"/>
        <v>0</v>
      </c>
      <c r="AB50" s="174">
        <f t="shared" si="33"/>
        <v>0</v>
      </c>
      <c r="AC50" s="174">
        <f t="shared" si="33"/>
        <v>0</v>
      </c>
      <c r="AD50" s="174">
        <f t="shared" si="33"/>
        <v>0</v>
      </c>
      <c r="AE50" s="174">
        <f t="shared" si="33"/>
        <v>0</v>
      </c>
      <c r="AF50" s="174">
        <f t="shared" si="33"/>
        <v>0</v>
      </c>
      <c r="AG50" s="174">
        <f t="shared" si="33"/>
        <v>3.6269956458635702</v>
      </c>
      <c r="AH50" s="174">
        <f t="shared" si="33"/>
        <v>18.13933236574746</v>
      </c>
      <c r="AI50" s="174">
        <f t="shared" si="33"/>
        <v>0</v>
      </c>
      <c r="AJ50" s="174">
        <v>0</v>
      </c>
      <c r="AK50" s="174">
        <v>0</v>
      </c>
      <c r="AL50" s="174">
        <f>+AL51/AL$85+AL52</f>
        <v>0</v>
      </c>
      <c r="AM50" s="174">
        <v>0</v>
      </c>
      <c r="AN50" s="174">
        <v>0</v>
      </c>
      <c r="AO50" s="174">
        <f>+AO51/AO$85+AO52</f>
        <v>0</v>
      </c>
      <c r="AP50" s="174">
        <v>0</v>
      </c>
      <c r="AQ50" s="174">
        <v>0</v>
      </c>
      <c r="AR50" s="174">
        <f>+AR51/AR$85+AR52</f>
        <v>0</v>
      </c>
      <c r="AS50" s="174">
        <f>+AS51/AS$85+AS52</f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f t="shared" ref="AY50:BV50" si="34">+AY51/AY$85+AY52</f>
        <v>0</v>
      </c>
      <c r="AZ50" s="174">
        <f t="shared" si="34"/>
        <v>0</v>
      </c>
      <c r="BA50" s="174">
        <f t="shared" si="34"/>
        <v>0</v>
      </c>
      <c r="BB50" s="174">
        <f t="shared" si="34"/>
        <v>0</v>
      </c>
      <c r="BC50" s="174">
        <f t="shared" si="34"/>
        <v>0</v>
      </c>
      <c r="BD50" s="174">
        <f t="shared" si="34"/>
        <v>0</v>
      </c>
      <c r="BE50" s="174">
        <f t="shared" si="34"/>
        <v>0</v>
      </c>
      <c r="BF50" s="174">
        <f t="shared" si="34"/>
        <v>0</v>
      </c>
      <c r="BG50" s="174">
        <f t="shared" si="34"/>
        <v>0</v>
      </c>
      <c r="BH50" s="174">
        <f t="shared" si="34"/>
        <v>0</v>
      </c>
      <c r="BI50" s="174">
        <f t="shared" si="34"/>
        <v>0</v>
      </c>
      <c r="BJ50" s="174">
        <f t="shared" si="34"/>
        <v>0</v>
      </c>
      <c r="BK50" s="174">
        <f t="shared" si="34"/>
        <v>0</v>
      </c>
      <c r="BL50" s="390">
        <f t="shared" si="34"/>
        <v>42.689775510204079</v>
      </c>
      <c r="BM50" s="174">
        <f t="shared" si="34"/>
        <v>0</v>
      </c>
      <c r="BN50" s="300">
        <f t="shared" si="34"/>
        <v>0</v>
      </c>
      <c r="BO50" s="300">
        <f t="shared" si="34"/>
        <v>0</v>
      </c>
      <c r="BP50" s="300">
        <f t="shared" si="34"/>
        <v>22.277157208454813</v>
      </c>
      <c r="BQ50" s="300">
        <f t="shared" si="34"/>
        <v>118.14701221574343</v>
      </c>
      <c r="BR50" s="318">
        <f t="shared" si="34"/>
        <v>166.85890972886298</v>
      </c>
      <c r="BS50" s="403">
        <f t="shared" si="34"/>
        <v>120.67988466034986</v>
      </c>
      <c r="BT50" s="318">
        <f t="shared" si="34"/>
        <v>209.33883865597659</v>
      </c>
      <c r="BU50" s="434">
        <f t="shared" si="34"/>
        <v>82.805529978134047</v>
      </c>
      <c r="BV50" s="434">
        <f t="shared" si="34"/>
        <v>0</v>
      </c>
      <c r="BW50" s="434">
        <f t="shared" ref="BW50:CK50" si="35">+BW51/BW$85+BW52</f>
        <v>67.036342978134115</v>
      </c>
      <c r="BX50" s="434">
        <f t="shared" si="35"/>
        <v>0</v>
      </c>
      <c r="BY50" s="318">
        <f t="shared" si="35"/>
        <v>9.046552934402289</v>
      </c>
      <c r="BZ50" s="434">
        <f t="shared" si="35"/>
        <v>0</v>
      </c>
      <c r="CA50" s="434">
        <f t="shared" si="35"/>
        <v>0</v>
      </c>
      <c r="CB50" s="318">
        <f t="shared" si="35"/>
        <v>0</v>
      </c>
      <c r="CC50" s="434">
        <f t="shared" si="35"/>
        <v>71.545680758017483</v>
      </c>
      <c r="CD50" s="318">
        <f t="shared" si="35"/>
        <v>0</v>
      </c>
      <c r="CE50" s="318">
        <f t="shared" si="35"/>
        <v>0</v>
      </c>
      <c r="CF50" s="318">
        <f t="shared" si="35"/>
        <v>0</v>
      </c>
      <c r="CG50" s="318">
        <f t="shared" si="35"/>
        <v>0</v>
      </c>
      <c r="CH50" s="318">
        <f t="shared" si="35"/>
        <v>0</v>
      </c>
      <c r="CI50" s="318">
        <f t="shared" si="35"/>
        <v>0</v>
      </c>
      <c r="CJ50" s="318">
        <f t="shared" si="35"/>
        <v>0</v>
      </c>
      <c r="CK50" s="318">
        <f t="shared" si="35"/>
        <v>0</v>
      </c>
      <c r="CL50" s="638">
        <f>+CL51/CL$85+CL52</f>
        <v>0</v>
      </c>
      <c r="CM50" s="638">
        <f>+CM51/CM$85+CM52</f>
        <v>0</v>
      </c>
      <c r="CN50" s="638">
        <v>0</v>
      </c>
      <c r="CO50" s="638">
        <v>0</v>
      </c>
      <c r="CP50" s="686">
        <f>+CP51/CP$85+CP52</f>
        <v>0</v>
      </c>
      <c r="CQ50" s="686">
        <f>+CQ51/CQ$85+CQ52</f>
        <v>0</v>
      </c>
      <c r="CR50" s="638">
        <f>+CR51/CR$85+CR52</f>
        <v>0</v>
      </c>
      <c r="CS50" s="686">
        <f>+CS51/CS$85+CS52</f>
        <v>0</v>
      </c>
      <c r="CT50" s="707">
        <v>0</v>
      </c>
      <c r="CU50" s="686">
        <f>+CU51/CU$85+CU52</f>
        <v>0</v>
      </c>
      <c r="CV50" s="686">
        <f>+CV51/CV$85+CV52</f>
        <v>0</v>
      </c>
      <c r="CW50" s="686">
        <f t="shared" ref="CW50:CZ50" si="36">+CW51/CW$85+CW52</f>
        <v>0</v>
      </c>
      <c r="CX50" s="686">
        <f t="shared" si="36"/>
        <v>0</v>
      </c>
      <c r="CY50" s="638">
        <f t="shared" si="36"/>
        <v>13.669096209912535</v>
      </c>
      <c r="CZ50" s="638">
        <f t="shared" si="36"/>
        <v>17.028104956268219</v>
      </c>
      <c r="DA50" s="686">
        <f>+DA51/DA$85+DA52</f>
        <v>266.50484019387756</v>
      </c>
      <c r="DB50" s="686">
        <f t="shared" ref="DB50:DH50" si="37">+DB51/DB$85+DB52</f>
        <v>228.72784256559768</v>
      </c>
      <c r="DC50" s="686">
        <f t="shared" si="37"/>
        <v>142.41891568950436</v>
      </c>
      <c r="DD50" s="686">
        <f t="shared" si="37"/>
        <v>19.125166268221573</v>
      </c>
      <c r="DE50" s="686">
        <f t="shared" si="37"/>
        <v>13.543931045189378</v>
      </c>
      <c r="DF50" s="664">
        <f t="shared" si="37"/>
        <v>23.690941849854227</v>
      </c>
      <c r="DG50" s="686">
        <f t="shared" si="37"/>
        <v>0</v>
      </c>
      <c r="DH50" s="686">
        <f t="shared" si="37"/>
        <v>0</v>
      </c>
      <c r="DI50" s="664">
        <f t="shared" ref="DI50:DJ50" si="38">+DI51/DI$85+DI52</f>
        <v>0</v>
      </c>
      <c r="DJ50" s="664">
        <f t="shared" si="38"/>
        <v>0</v>
      </c>
      <c r="DK50" s="664">
        <f t="shared" ref="DK50:DM50" si="39">+DK51/DK$85+DK52</f>
        <v>0</v>
      </c>
      <c r="DL50" s="664">
        <f t="shared" ref="DL50" si="40">+DL51/DL$85+DL52</f>
        <v>22.629817784256559</v>
      </c>
      <c r="DM50" s="664">
        <f t="shared" si="39"/>
        <v>22.629817784256559</v>
      </c>
      <c r="DN50" s="331">
        <f t="shared" si="11"/>
        <v>22.629817784256559</v>
      </c>
      <c r="DO50" s="828" t="e">
        <f t="shared" si="12"/>
        <v>#DIV/0!</v>
      </c>
      <c r="DP50" s="458"/>
      <c r="DQ50" s="263"/>
    </row>
    <row r="51" spans="1:124" ht="12.75" customHeight="1" outlineLevel="1" x14ac:dyDescent="0.2">
      <c r="A51" s="204"/>
      <c r="B51" s="90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686">
        <v>0</v>
      </c>
      <c r="DH51" s="686">
        <v>0</v>
      </c>
      <c r="DI51" s="664">
        <v>0</v>
      </c>
      <c r="DJ51" s="664">
        <v>0</v>
      </c>
      <c r="DK51" s="664">
        <v>0</v>
      </c>
      <c r="DL51" s="664">
        <v>155.24055000000001</v>
      </c>
      <c r="DM51" s="664">
        <v>155.24055000000001</v>
      </c>
      <c r="DN51" s="331">
        <f t="shared" si="11"/>
        <v>155.24055000000001</v>
      </c>
      <c r="DO51" s="828" t="e">
        <f t="shared" si="12"/>
        <v>#DIV/0!</v>
      </c>
      <c r="DP51" s="458"/>
      <c r="DQ51" s="263"/>
    </row>
    <row r="52" spans="1:124" ht="12.75" customHeight="1" outlineLevel="1" thickBot="1" x14ac:dyDescent="0.25">
      <c r="A52" s="204"/>
      <c r="B52" s="901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880">
        <v>0</v>
      </c>
      <c r="DG52" s="745">
        <v>0</v>
      </c>
      <c r="DH52" s="745">
        <v>0</v>
      </c>
      <c r="DI52" s="880">
        <v>0</v>
      </c>
      <c r="DJ52" s="880">
        <v>0</v>
      </c>
      <c r="DK52" s="746">
        <v>0</v>
      </c>
      <c r="DL52" s="746">
        <v>0</v>
      </c>
      <c r="DM52" s="746">
        <v>0</v>
      </c>
      <c r="DN52" s="529">
        <f t="shared" si="11"/>
        <v>0</v>
      </c>
      <c r="DO52" s="829" t="e">
        <f t="shared" si="12"/>
        <v>#DIV/0!</v>
      </c>
      <c r="DP52" s="458"/>
      <c r="DQ52" s="263"/>
    </row>
    <row r="53" spans="1:124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69"/>
      <c r="DG53" s="175"/>
      <c r="DH53" s="175"/>
      <c r="DI53" s="169"/>
      <c r="DJ53" s="169"/>
      <c r="DK53" s="169"/>
      <c r="DL53" s="169"/>
      <c r="DM53" s="169"/>
      <c r="DN53" s="525"/>
      <c r="DO53" s="865"/>
      <c r="DP53" s="458"/>
      <c r="DQ53" s="791"/>
      <c r="DR53" s="200"/>
    </row>
    <row r="54" spans="1:124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396">
        <v>24177.033589955241</v>
      </c>
      <c r="DH54" s="396">
        <v>24199.819326439196</v>
      </c>
      <c r="DI54" s="404">
        <v>24176.584574026663</v>
      </c>
      <c r="DJ54" s="404">
        <v>24232.393483666609</v>
      </c>
      <c r="DK54" s="404">
        <v>24299.146381784678</v>
      </c>
      <c r="DL54" s="404">
        <v>24443.616398477105</v>
      </c>
      <c r="DM54" s="404">
        <v>24616.213387775933</v>
      </c>
      <c r="DN54" s="331">
        <f>DM54-DH54</f>
        <v>416.39406133673765</v>
      </c>
      <c r="DO54" s="715">
        <f>(+(DM54/DH54-1))*100</f>
        <v>1.7206494632040936</v>
      </c>
      <c r="DP54" s="695"/>
      <c r="DQ54" s="790"/>
      <c r="DR54" s="200"/>
    </row>
    <row r="55" spans="1:124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85.098838913863929</v>
      </c>
      <c r="DF55" s="663">
        <v>84.978584134017225</v>
      </c>
      <c r="DG55" s="675">
        <v>84.990445628676326</v>
      </c>
      <c r="DH55" s="675">
        <v>85.175036314154923</v>
      </c>
      <c r="DI55" s="663">
        <v>85.175110499338146</v>
      </c>
      <c r="DJ55" s="663">
        <v>85.194916583811136</v>
      </c>
      <c r="DK55" s="663">
        <v>85.201927059296736</v>
      </c>
      <c r="DL55" s="663">
        <v>85.286912155314397</v>
      </c>
      <c r="DM55" s="663">
        <v>85.263969739193072</v>
      </c>
      <c r="DN55" s="331">
        <f>DM55-DH55</f>
        <v>8.8933425038149494E-2</v>
      </c>
      <c r="DO55" s="715"/>
      <c r="DP55" s="695"/>
      <c r="DQ55" s="603" t="s">
        <v>233</v>
      </c>
      <c r="DR55" s="200"/>
    </row>
    <row r="56" spans="1:124" ht="12.75" customHeight="1" x14ac:dyDescent="0.2">
      <c r="A56" s="204"/>
      <c r="B56" s="90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396">
        <v>23017.036621203053</v>
      </c>
      <c r="DH56" s="396">
        <v>23048.87343431238</v>
      </c>
      <c r="DI56" s="404">
        <v>23022.85101336486</v>
      </c>
      <c r="DJ56" s="404">
        <v>23077.489106379438</v>
      </c>
      <c r="DK56" s="404">
        <v>23143.339846764276</v>
      </c>
      <c r="DL56" s="404">
        <v>23287.064702808013</v>
      </c>
      <c r="DM56" s="404">
        <v>23471.493200048535</v>
      </c>
      <c r="DN56" s="331">
        <f>DM56-DH56</f>
        <v>422.61976573615539</v>
      </c>
      <c r="DO56" s="715">
        <f>(+(DM56/DH56-1))*100</f>
        <v>1.8335810075082115</v>
      </c>
      <c r="DP56" s="695"/>
      <c r="DQ56" s="789"/>
      <c r="DR56" s="792"/>
    </row>
    <row r="57" spans="1:124" ht="12.75" customHeight="1" x14ac:dyDescent="0.2">
      <c r="A57" s="204"/>
      <c r="B57" s="90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675">
        <v>84.489697346095696</v>
      </c>
      <c r="DH57" s="675">
        <v>84.682545272225369</v>
      </c>
      <c r="DI57" s="663">
        <v>84.683901765627297</v>
      </c>
      <c r="DJ57" s="663">
        <v>84.699016013027006</v>
      </c>
      <c r="DK57" s="663">
        <v>84.703108811402302</v>
      </c>
      <c r="DL57" s="663">
        <v>84.790732196406907</v>
      </c>
      <c r="DM57" s="663">
        <v>84.817731481146694</v>
      </c>
      <c r="DN57" s="331">
        <f>DM57-DH57</f>
        <v>0.1351862089213256</v>
      </c>
      <c r="DO57" s="715"/>
      <c r="DP57" s="695"/>
      <c r="DQ57" s="790"/>
      <c r="DR57" s="792"/>
    </row>
    <row r="58" spans="1:124" ht="3" customHeight="1" x14ac:dyDescent="0.2">
      <c r="A58" s="204"/>
      <c r="B58" s="90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675">
        <v>0</v>
      </c>
      <c r="DH58" s="675"/>
      <c r="DI58" s="663"/>
      <c r="DJ58" s="663"/>
      <c r="DK58" s="663"/>
      <c r="DL58" s="663"/>
      <c r="DM58" s="663"/>
      <c r="DN58" s="331"/>
      <c r="DO58" s="715"/>
      <c r="DP58" s="695"/>
      <c r="DQ58" s="791"/>
      <c r="DR58" s="792"/>
    </row>
    <row r="59" spans="1:124" x14ac:dyDescent="0.2">
      <c r="A59" s="204"/>
      <c r="B59" s="90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396">
        <v>4556.7269633446231</v>
      </c>
      <c r="DH59" s="396">
        <v>4628.1602354481211</v>
      </c>
      <c r="DI59" s="404">
        <v>4620.5168999962261</v>
      </c>
      <c r="DJ59" s="404">
        <v>4639.8282901930197</v>
      </c>
      <c r="DK59" s="404">
        <v>4647.9295217236304</v>
      </c>
      <c r="DL59" s="404">
        <v>4696.0009203868958</v>
      </c>
      <c r="DM59" s="404">
        <v>4814.5743723781497</v>
      </c>
      <c r="DN59" s="331">
        <f>DM59-DH59</f>
        <v>186.41413693002869</v>
      </c>
      <c r="DO59" s="715">
        <f>(+(DM59/DH59-1))*100</f>
        <v>4.0278237452161081</v>
      </c>
      <c r="DP59" s="695"/>
      <c r="DQ59" s="791"/>
      <c r="DR59" s="792"/>
    </row>
    <row r="60" spans="1:124" x14ac:dyDescent="0.2">
      <c r="A60" s="204"/>
      <c r="B60" s="90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f>100*0.74100573520526</f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675">
        <v>77.086848507773126</v>
      </c>
      <c r="DH60" s="675">
        <v>77.768093121233008</v>
      </c>
      <c r="DI60" s="663">
        <v>77.708876061226391</v>
      </c>
      <c r="DJ60" s="663">
        <v>77.732074053297424</v>
      </c>
      <c r="DK60" s="663">
        <v>77.749818421869321</v>
      </c>
      <c r="DL60" s="663">
        <v>77.913447651224587</v>
      </c>
      <c r="DM60" s="663">
        <v>77.760900160433181</v>
      </c>
      <c r="DN60" s="331">
        <f>DM60-DH60</f>
        <v>-7.1929607998271194E-3</v>
      </c>
      <c r="DO60" s="715"/>
      <c r="DP60" s="695"/>
      <c r="DQ60" s="791"/>
      <c r="DR60" s="791"/>
      <c r="DS60" s="791"/>
      <c r="DT60" s="791"/>
    </row>
    <row r="61" spans="1:124" ht="3" customHeight="1" x14ac:dyDescent="0.2">
      <c r="A61" s="204"/>
      <c r="B61" s="90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05"/>
      <c r="DH61" s="805"/>
      <c r="DI61" s="717"/>
      <c r="DJ61" s="717"/>
      <c r="DK61" s="717"/>
      <c r="DL61" s="717"/>
      <c r="DM61" s="717"/>
      <c r="DN61" s="331"/>
      <c r="DO61" s="715"/>
      <c r="DP61" s="695"/>
      <c r="DQ61" s="791"/>
      <c r="DR61" s="792"/>
    </row>
    <row r="62" spans="1:124" x14ac:dyDescent="0.2">
      <c r="A62" s="204"/>
      <c r="B62" s="90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396">
        <v>7177.5302204243835</v>
      </c>
      <c r="DH62" s="396">
        <v>7112.0516582931878</v>
      </c>
      <c r="DI62" s="404">
        <v>7093.793251449164</v>
      </c>
      <c r="DJ62" s="404">
        <v>7111.5722588602439</v>
      </c>
      <c r="DK62" s="404">
        <v>7169.0832726678218</v>
      </c>
      <c r="DL62" s="404">
        <v>7231.034100969574</v>
      </c>
      <c r="DM62" s="404">
        <v>7314.0163602844432</v>
      </c>
      <c r="DN62" s="331">
        <f>DM62-DH62</f>
        <v>201.96470199125542</v>
      </c>
      <c r="DO62" s="715">
        <f>(+(DM62/DH62-1))*100</f>
        <v>2.8397530233874146</v>
      </c>
      <c r="DP62" s="695"/>
      <c r="DQ62" s="791"/>
      <c r="DR62" s="792"/>
    </row>
    <row r="63" spans="1:124" x14ac:dyDescent="0.2">
      <c r="A63" s="204"/>
      <c r="B63" s="90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f>100*0.800688348083885</f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675">
        <v>76.473760517775304</v>
      </c>
      <c r="DH63" s="675">
        <v>76.304109255782208</v>
      </c>
      <c r="DI63" s="663">
        <v>76.316839376025357</v>
      </c>
      <c r="DJ63" s="663">
        <v>76.401533031378818</v>
      </c>
      <c r="DK63" s="663">
        <v>76.532253726066372</v>
      </c>
      <c r="DL63" s="663">
        <v>76.664573537200795</v>
      </c>
      <c r="DM63" s="663">
        <v>76.98064298814306</v>
      </c>
      <c r="DN63" s="331">
        <f>DM63-DH63</f>
        <v>0.67653373236085201</v>
      </c>
      <c r="DO63" s="715"/>
      <c r="DP63" s="695"/>
      <c r="DQ63" s="791"/>
      <c r="DR63" s="792"/>
    </row>
    <row r="64" spans="1:124" ht="3.75" customHeight="1" x14ac:dyDescent="0.2">
      <c r="A64" s="204"/>
      <c r="B64" s="90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687"/>
      <c r="DH64" s="687"/>
      <c r="DI64" s="719"/>
      <c r="DJ64" s="719"/>
      <c r="DK64" s="719"/>
      <c r="DL64" s="719"/>
      <c r="DM64" s="719"/>
      <c r="DN64" s="331"/>
      <c r="DO64" s="715"/>
      <c r="DP64" s="695"/>
      <c r="DQ64" s="791"/>
      <c r="DR64" s="792"/>
    </row>
    <row r="65" spans="1:122" x14ac:dyDescent="0.2">
      <c r="A65" s="204"/>
      <c r="B65" s="90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396">
        <v>10417.224621357138</v>
      </c>
      <c r="DH65" s="396">
        <v>10446.342549772589</v>
      </c>
      <c r="DI65" s="404">
        <v>10446.739020460636</v>
      </c>
      <c r="DJ65" s="404">
        <v>10464.094490966467</v>
      </c>
      <c r="DK65" s="404">
        <v>10465.850853284253</v>
      </c>
      <c r="DL65" s="404">
        <v>10498.031802319239</v>
      </c>
      <c r="DM65" s="404">
        <v>10495.218350951889</v>
      </c>
      <c r="DN65" s="331">
        <f>DM65-DH65</f>
        <v>48.875801179299742</v>
      </c>
      <c r="DO65" s="715">
        <f>(+(DM65/DH65-1))*100</f>
        <v>0.46787477001091204</v>
      </c>
      <c r="DP65" s="695"/>
      <c r="DQ65" s="791"/>
      <c r="DR65" s="792"/>
    </row>
    <row r="66" spans="1:122" x14ac:dyDescent="0.2">
      <c r="A66" s="204"/>
      <c r="B66" s="90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f>100*0.923660796148687</f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675">
        <v>94.801852584855865</v>
      </c>
      <c r="DH66" s="675">
        <v>94.849389516255613</v>
      </c>
      <c r="DI66" s="663">
        <v>94.856006923468073</v>
      </c>
      <c r="DJ66" s="663">
        <v>94.81411789328547</v>
      </c>
      <c r="DK66" s="663">
        <v>94.786827853030189</v>
      </c>
      <c r="DL66" s="663">
        <v>94.803647691904402</v>
      </c>
      <c r="DM66" s="663">
        <v>94.804692484903185</v>
      </c>
      <c r="DN66" s="331">
        <f>DM66-DH66</f>
        <v>-4.469703135242753E-2</v>
      </c>
      <c r="DO66" s="715"/>
      <c r="DP66" s="695"/>
      <c r="DQ66" s="791"/>
      <c r="DR66" s="792"/>
    </row>
    <row r="67" spans="1:122" ht="3" customHeight="1" x14ac:dyDescent="0.2">
      <c r="A67" s="204"/>
      <c r="B67" s="90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396"/>
      <c r="DH67" s="396"/>
      <c r="DI67" s="404"/>
      <c r="DJ67" s="404"/>
      <c r="DK67" s="404"/>
      <c r="DL67" s="404"/>
      <c r="DM67" s="404"/>
      <c r="DN67" s="331"/>
      <c r="DO67" s="715"/>
      <c r="DP67" s="695"/>
      <c r="DQ67" s="791"/>
      <c r="DR67" s="792"/>
    </row>
    <row r="68" spans="1:122" x14ac:dyDescent="0.2">
      <c r="A68" s="204"/>
      <c r="B68" s="90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396">
        <v>865.55481607690774</v>
      </c>
      <c r="DH68" s="396">
        <v>862.31899079848222</v>
      </c>
      <c r="DI68" s="404">
        <v>861.80184145883186</v>
      </c>
      <c r="DJ68" s="404">
        <v>861.99406635970638</v>
      </c>
      <c r="DK68" s="404">
        <v>860.4761990885695</v>
      </c>
      <c r="DL68" s="404">
        <v>861.99787913230125</v>
      </c>
      <c r="DM68" s="404">
        <v>847.68411643405022</v>
      </c>
      <c r="DN68" s="331">
        <f>DM68-DH68</f>
        <v>-14.634874364431994</v>
      </c>
      <c r="DO68" s="715">
        <f>(+(DM68/DH68-1))*100</f>
        <v>-1.6971532020743862</v>
      </c>
      <c r="DP68" s="695"/>
      <c r="DQ68" s="791"/>
      <c r="DR68" s="792"/>
    </row>
    <row r="69" spans="1:122" ht="12.75" customHeight="1" x14ac:dyDescent="0.2">
      <c r="A69" s="204"/>
      <c r="B69" s="90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f>100*0.786890876318575</f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675">
        <v>79.466865541900262</v>
      </c>
      <c r="DH69" s="675">
        <v>79.687521051656134</v>
      </c>
      <c r="DI69" s="663">
        <v>79.712925960403965</v>
      </c>
      <c r="DJ69" s="663">
        <v>79.66149634283407</v>
      </c>
      <c r="DK69" s="663">
        <v>79.563974905336849</v>
      </c>
      <c r="DL69" s="663">
        <v>79.555653459013953</v>
      </c>
      <c r="DM69" s="663">
        <v>80.55895336638676</v>
      </c>
      <c r="DN69" s="331">
        <f>DM69-DH69</f>
        <v>0.87143231473062599</v>
      </c>
      <c r="DO69" s="715"/>
      <c r="DP69" s="695"/>
      <c r="DQ69" s="791"/>
      <c r="DR69" s="792"/>
    </row>
    <row r="70" spans="1:122" s="417" customFormat="1" ht="4.5" customHeight="1" x14ac:dyDescent="0.2">
      <c r="A70" s="204"/>
      <c r="B70" s="90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07"/>
      <c r="DH70" s="807"/>
      <c r="DI70" s="705"/>
      <c r="DJ70" s="705"/>
      <c r="DK70" s="705"/>
      <c r="DL70" s="705"/>
      <c r="DM70" s="705"/>
      <c r="DN70" s="524"/>
      <c r="DO70" s="716"/>
      <c r="DP70" s="458"/>
      <c r="DQ70" s="791"/>
      <c r="DR70" s="792"/>
    </row>
    <row r="71" spans="1:122" ht="12.75" customHeight="1" x14ac:dyDescent="0.2">
      <c r="A71" s="204"/>
      <c r="B71" s="90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396">
        <v>4395.0342852708327</v>
      </c>
      <c r="DH71" s="396">
        <v>4290.5261199888309</v>
      </c>
      <c r="DI71" s="404">
        <v>4356.4470771042888</v>
      </c>
      <c r="DJ71" s="404">
        <v>4254.573520662605</v>
      </c>
      <c r="DK71" s="404">
        <v>4259.0807922351532</v>
      </c>
      <c r="DL71" s="404">
        <v>4392.2217545082403</v>
      </c>
      <c r="DM71" s="404">
        <v>4582.634178621267</v>
      </c>
      <c r="DN71" s="331">
        <f t="shared" ref="DN71:DN82" si="41">DM71-DH71</f>
        <v>292.10805863243604</v>
      </c>
      <c r="DO71" s="715">
        <f t="shared" ref="DO71:DO82" si="42">(+(DM71/DH71-1))*100</f>
        <v>6.8082107057116925</v>
      </c>
      <c r="DP71" s="458"/>
      <c r="DQ71" s="789"/>
      <c r="DR71" s="792"/>
    </row>
    <row r="72" spans="1:122" x14ac:dyDescent="0.2">
      <c r="A72" s="204"/>
      <c r="B72" s="90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396">
        <v>1777.693221233236</v>
      </c>
      <c r="DH72" s="396">
        <v>1636.6913223002914</v>
      </c>
      <c r="DI72" s="404">
        <v>1607.0030358476677</v>
      </c>
      <c r="DJ72" s="404">
        <v>1591.6958116537903</v>
      </c>
      <c r="DK72" s="404">
        <v>1586.5938800218657</v>
      </c>
      <c r="DL72" s="404">
        <v>1687.4815614795921</v>
      </c>
      <c r="DM72" s="404">
        <v>1908.3136565714285</v>
      </c>
      <c r="DN72" s="331">
        <f t="shared" si="41"/>
        <v>271.62233427113711</v>
      </c>
      <c r="DO72" s="715">
        <f t="shared" si="42"/>
        <v>16.595819295319835</v>
      </c>
      <c r="DP72" s="458"/>
      <c r="DQ72" s="603"/>
      <c r="DR72" s="269"/>
    </row>
    <row r="73" spans="1:122" ht="15" x14ac:dyDescent="0.25">
      <c r="A73" s="204"/>
      <c r="B73" s="90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396">
        <v>504.37678790147959</v>
      </c>
      <c r="DH73" s="396">
        <v>499.92796641518066</v>
      </c>
      <c r="DI73" s="404">
        <v>499.94120105479595</v>
      </c>
      <c r="DJ73" s="404">
        <v>503.22691614221986</v>
      </c>
      <c r="DK73" s="404">
        <v>503.23200666775938</v>
      </c>
      <c r="DL73" s="404">
        <v>503.21542142666607</v>
      </c>
      <c r="DM73" s="404">
        <v>503.21956061535417</v>
      </c>
      <c r="DN73" s="331">
        <f t="shared" si="41"/>
        <v>3.2915942001735061</v>
      </c>
      <c r="DO73" s="715">
        <f t="shared" si="42"/>
        <v>0.65841369583230502</v>
      </c>
      <c r="DP73" s="458"/>
      <c r="DQ73" s="603"/>
      <c r="DR73" s="625"/>
    </row>
    <row r="74" spans="1:122" ht="15" x14ac:dyDescent="0.25">
      <c r="A74" s="204"/>
      <c r="B74" s="90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396">
        <v>661.7441913361165</v>
      </c>
      <c r="DH74" s="396">
        <v>708.5205616033586</v>
      </c>
      <c r="DI74" s="404">
        <v>804.02495821182504</v>
      </c>
      <c r="DJ74" s="404">
        <v>721.79958657659495</v>
      </c>
      <c r="DK74" s="404">
        <v>731.34447124552798</v>
      </c>
      <c r="DL74" s="404">
        <v>763.73150284198266</v>
      </c>
      <c r="DM74" s="404">
        <v>733.23822219448391</v>
      </c>
      <c r="DN74" s="331">
        <f t="shared" si="41"/>
        <v>24.717660591125309</v>
      </c>
      <c r="DO74" s="715">
        <f t="shared" si="42"/>
        <v>3.4886299608849924</v>
      </c>
      <c r="DP74" s="458"/>
      <c r="DQ74" s="603"/>
      <c r="DR74" s="625"/>
    </row>
    <row r="75" spans="1:122" ht="15" x14ac:dyDescent="0.25">
      <c r="A75" s="204"/>
      <c r="B75" s="90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396">
        <v>1451.2200848</v>
      </c>
      <c r="DH75" s="396">
        <v>1445.3862696699998</v>
      </c>
      <c r="DI75" s="404">
        <v>1445.4778819900002</v>
      </c>
      <c r="DJ75" s="404">
        <v>1437.8512062900002</v>
      </c>
      <c r="DK75" s="404">
        <v>1437.9104343000001</v>
      </c>
      <c r="DL75" s="404">
        <v>1437.7932687599998</v>
      </c>
      <c r="DM75" s="404">
        <v>1437.8627392400001</v>
      </c>
      <c r="DN75" s="331">
        <f t="shared" si="41"/>
        <v>-7.5235304299997097</v>
      </c>
      <c r="DO75" s="715">
        <f t="shared" si="42"/>
        <v>-0.52052040259918941</v>
      </c>
      <c r="DP75" s="458"/>
      <c r="DQ75" s="603"/>
      <c r="DR75" s="625"/>
    </row>
    <row r="76" spans="1:122" ht="15" x14ac:dyDescent="0.25">
      <c r="A76" s="204"/>
      <c r="B76" s="90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396">
        <v>1096.9644932681178</v>
      </c>
      <c r="DH76" s="396">
        <v>1010.9454970730092</v>
      </c>
      <c r="DI76" s="404">
        <v>1073.4901152945924</v>
      </c>
      <c r="DJ76" s="404">
        <v>971.09218891185208</v>
      </c>
      <c r="DK76" s="404">
        <v>976.5222252110367</v>
      </c>
      <c r="DL76" s="404">
        <v>1107.1540092747803</v>
      </c>
      <c r="DM76" s="404">
        <v>1296.4480848181386</v>
      </c>
      <c r="DN76" s="331">
        <f t="shared" si="41"/>
        <v>285.5025877451294</v>
      </c>
      <c r="DO76" s="715">
        <f t="shared" si="42"/>
        <v>28.241145400196665</v>
      </c>
      <c r="DP76" s="458"/>
      <c r="DQ76" s="603"/>
      <c r="DR76" s="625"/>
    </row>
    <row r="77" spans="1:122" x14ac:dyDescent="0.2">
      <c r="A77" s="204"/>
      <c r="B77" s="90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396">
        <v>934.91317597200111</v>
      </c>
      <c r="DH77" s="396">
        <v>800.23190812965061</v>
      </c>
      <c r="DI77" s="404">
        <v>765.84158262276719</v>
      </c>
      <c r="DJ77" s="404">
        <v>745.41809403525713</v>
      </c>
      <c r="DK77" s="404">
        <v>741.31112054550874</v>
      </c>
      <c r="DL77" s="404">
        <v>839.5737541827973</v>
      </c>
      <c r="DM77" s="404">
        <v>1059.4289427636547</v>
      </c>
      <c r="DN77" s="331">
        <f t="shared" si="41"/>
        <v>259.19703463400413</v>
      </c>
      <c r="DO77" s="715">
        <f t="shared" si="42"/>
        <v>32.390239879313839</v>
      </c>
      <c r="DP77" s="458"/>
      <c r="DQ77" s="603"/>
      <c r="DR77" s="269"/>
    </row>
    <row r="78" spans="1:122" x14ac:dyDescent="0.2">
      <c r="A78" s="204"/>
      <c r="B78" s="900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396">
        <v>162.05131729611654</v>
      </c>
      <c r="DH78" s="396">
        <v>210.71358894335862</v>
      </c>
      <c r="DI78" s="404">
        <v>307.64853267182519</v>
      </c>
      <c r="DJ78" s="404">
        <v>225.67409487659495</v>
      </c>
      <c r="DK78" s="404">
        <v>235.21110466552804</v>
      </c>
      <c r="DL78" s="404">
        <v>267.58025509198274</v>
      </c>
      <c r="DM78" s="404">
        <v>237.01914205448395</v>
      </c>
      <c r="DN78" s="331">
        <f t="shared" si="41"/>
        <v>26.305553111125334</v>
      </c>
      <c r="DO78" s="715">
        <f t="shared" si="42"/>
        <v>12.484032588043693</v>
      </c>
      <c r="DP78" s="458"/>
      <c r="DQ78" s="603"/>
      <c r="DR78" s="269"/>
    </row>
    <row r="79" spans="1:122" ht="12.75" hidden="1" customHeight="1" outlineLevel="1" x14ac:dyDescent="0.2">
      <c r="A79" s="204"/>
      <c r="B79" s="900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41">
        <v>0</v>
      </c>
      <c r="DH79" s="841">
        <v>0</v>
      </c>
      <c r="DI79" s="697">
        <v>0</v>
      </c>
      <c r="DJ79" s="697">
        <v>0</v>
      </c>
      <c r="DK79" s="697">
        <v>0</v>
      </c>
      <c r="DL79" s="697">
        <v>0</v>
      </c>
      <c r="DM79" s="697">
        <v>0</v>
      </c>
      <c r="DN79" s="331">
        <f t="shared" si="41"/>
        <v>0</v>
      </c>
      <c r="DO79" s="715" t="e">
        <f t="shared" si="42"/>
        <v>#DIV/0!</v>
      </c>
      <c r="DP79" s="458"/>
      <c r="DQ79" s="263"/>
      <c r="DR79" s="269"/>
    </row>
    <row r="80" spans="1:122" collapsed="1" x14ac:dyDescent="0.2">
      <c r="A80" s="204"/>
      <c r="B80" s="900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396">
        <v>21121.975302263709</v>
      </c>
      <c r="DH80" s="396">
        <v>21271.476450719976</v>
      </c>
      <c r="DI80" s="404">
        <v>21302.421631168956</v>
      </c>
      <c r="DJ80" s="404">
        <v>21349.033706499868</v>
      </c>
      <c r="DK80" s="404">
        <v>21407.433135199575</v>
      </c>
      <c r="DL80" s="404">
        <v>21501.403237527564</v>
      </c>
      <c r="DM80" s="404">
        <v>21482.364651020274</v>
      </c>
      <c r="DN80" s="331">
        <f t="shared" si="41"/>
        <v>210.88820030029819</v>
      </c>
      <c r="DO80" s="715">
        <f t="shared" si="42"/>
        <v>0.99141308215660029</v>
      </c>
      <c r="DP80" s="695"/>
      <c r="DQ80" s="695"/>
      <c r="DR80" s="269"/>
    </row>
    <row r="81" spans="1:122" ht="12.75" hidden="1" customHeight="1" x14ac:dyDescent="0.2">
      <c r="A81" s="204"/>
      <c r="B81" s="900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09"/>
      <c r="DH81" s="809"/>
      <c r="DI81" s="698"/>
      <c r="DJ81" s="698"/>
      <c r="DK81" s="698"/>
      <c r="DL81" s="698"/>
      <c r="DM81" s="698"/>
      <c r="DN81" s="331">
        <f t="shared" si="41"/>
        <v>0</v>
      </c>
      <c r="DO81" s="715" t="e">
        <f t="shared" si="42"/>
        <v>#DIV/0!</v>
      </c>
      <c r="DP81" s="695"/>
      <c r="DQ81" s="263"/>
      <c r="DR81" s="269"/>
    </row>
    <row r="82" spans="1:122" ht="13.5" thickBot="1" x14ac:dyDescent="0.25">
      <c r="A82" s="204"/>
      <c r="B82" s="900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881">
        <v>97.403769990698279</v>
      </c>
      <c r="DG82" s="757">
        <v>97.409225999168768</v>
      </c>
      <c r="DH82" s="757">
        <v>97.434668601339339</v>
      </c>
      <c r="DI82" s="881">
        <v>97.439480798653946</v>
      </c>
      <c r="DJ82" s="881">
        <v>97.447760106466475</v>
      </c>
      <c r="DK82" s="758">
        <v>97.454338543520223</v>
      </c>
      <c r="DL82" s="758">
        <v>97.467793388785267</v>
      </c>
      <c r="DM82" s="758">
        <v>97.469174028914466</v>
      </c>
      <c r="DN82" s="529">
        <f t="shared" si="41"/>
        <v>3.4505427575126646E-2</v>
      </c>
      <c r="DO82" s="733">
        <f t="shared" si="42"/>
        <v>3.5413911773352069E-2</v>
      </c>
      <c r="DP82" s="695"/>
      <c r="DQ82" s="790"/>
      <c r="DR82" s="269"/>
    </row>
    <row r="83" spans="1:122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184"/>
      <c r="DH83" s="184"/>
      <c r="DI83" s="307"/>
      <c r="DJ83" s="307"/>
      <c r="DK83" s="307"/>
      <c r="DL83" s="307"/>
      <c r="DM83" s="307"/>
      <c r="DN83" s="524"/>
      <c r="DO83" s="716"/>
      <c r="DP83" s="458"/>
      <c r="DQ83" s="791"/>
      <c r="DR83" s="269"/>
    </row>
    <row r="84" spans="1:122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f t="shared" ref="J84:O84" si="43">+J85+0.1</f>
        <v>7.0699999999999994</v>
      </c>
      <c r="K84" s="123">
        <f t="shared" si="43"/>
        <v>7.0699999999999994</v>
      </c>
      <c r="L84" s="116">
        <f t="shared" si="43"/>
        <v>7.0699999999999994</v>
      </c>
      <c r="M84" s="117">
        <f t="shared" si="43"/>
        <v>7.0699999999999994</v>
      </c>
      <c r="N84" s="123">
        <f t="shared" si="43"/>
        <v>7.0699999999999994</v>
      </c>
      <c r="O84" s="123">
        <f t="shared" si="43"/>
        <v>7.0699999999999994</v>
      </c>
      <c r="P84" s="157">
        <v>7.07</v>
      </c>
      <c r="Q84" s="123">
        <f t="shared" ref="Q84:Y84" si="44">+Q85+0.1</f>
        <v>7.0699999999999994</v>
      </c>
      <c r="R84" s="123">
        <f t="shared" si="44"/>
        <v>7.0699999999999994</v>
      </c>
      <c r="S84" s="177">
        <f t="shared" si="44"/>
        <v>7.0699999999999994</v>
      </c>
      <c r="T84" s="177">
        <f t="shared" si="44"/>
        <v>7.0699999999999994</v>
      </c>
      <c r="U84" s="177">
        <f t="shared" si="44"/>
        <v>7.0699999999999994</v>
      </c>
      <c r="V84" s="177">
        <f t="shared" si="44"/>
        <v>7.0699999999999994</v>
      </c>
      <c r="W84" s="177">
        <f t="shared" si="44"/>
        <v>7.0699999999999994</v>
      </c>
      <c r="X84" s="177">
        <f t="shared" si="44"/>
        <v>7.0699999999999994</v>
      </c>
      <c r="Y84" s="177">
        <f t="shared" si="44"/>
        <v>7.0699999999999994</v>
      </c>
      <c r="Z84" s="177">
        <f t="shared" ref="Z84:AH84" si="45">+Z85+0.1</f>
        <v>7.0699999999999994</v>
      </c>
      <c r="AA84" s="177">
        <f t="shared" si="45"/>
        <v>7.0699999999999994</v>
      </c>
      <c r="AB84" s="177">
        <f t="shared" si="45"/>
        <v>7.06</v>
      </c>
      <c r="AC84" s="177">
        <f t="shared" si="45"/>
        <v>7.04</v>
      </c>
      <c r="AD84" s="177">
        <f t="shared" si="45"/>
        <v>7.04</v>
      </c>
      <c r="AE84" s="177">
        <f t="shared" si="45"/>
        <v>7.02</v>
      </c>
      <c r="AF84" s="177">
        <f t="shared" si="45"/>
        <v>7</v>
      </c>
      <c r="AG84" s="177">
        <f t="shared" si="45"/>
        <v>6.9899999999999993</v>
      </c>
      <c r="AH84" s="177">
        <f t="shared" si="45"/>
        <v>6.9899999999999993</v>
      </c>
      <c r="AI84" s="177">
        <f>+AI85+0.1</f>
        <v>6.9799999999999995</v>
      </c>
      <c r="AJ84" s="177">
        <f>+AJ85+0.1</f>
        <v>6.97</v>
      </c>
      <c r="AK84" s="177">
        <v>6.97</v>
      </c>
      <c r="AL84" s="177">
        <f t="shared" ref="AL84:BQ84" si="46">+AL85+0.1</f>
        <v>6.97</v>
      </c>
      <c r="AM84" s="177">
        <f t="shared" si="46"/>
        <v>6.97</v>
      </c>
      <c r="AN84" s="177">
        <f t="shared" si="46"/>
        <v>6.96</v>
      </c>
      <c r="AO84" s="177">
        <f t="shared" si="46"/>
        <v>6.96</v>
      </c>
      <c r="AP84" s="177">
        <f t="shared" si="46"/>
        <v>6.96</v>
      </c>
      <c r="AQ84" s="177">
        <f t="shared" si="46"/>
        <v>6.96</v>
      </c>
      <c r="AR84" s="177">
        <f t="shared" si="46"/>
        <v>6.96</v>
      </c>
      <c r="AS84" s="177">
        <f t="shared" si="46"/>
        <v>6.96</v>
      </c>
      <c r="AT84" s="177">
        <f t="shared" si="46"/>
        <v>6.96</v>
      </c>
      <c r="AU84" s="317">
        <f t="shared" si="46"/>
        <v>6.96</v>
      </c>
      <c r="AV84" s="344">
        <f t="shared" si="46"/>
        <v>6.96</v>
      </c>
      <c r="AW84" s="177">
        <f t="shared" si="46"/>
        <v>6.96</v>
      </c>
      <c r="AX84" s="177">
        <f t="shared" si="46"/>
        <v>6.96</v>
      </c>
      <c r="AY84" s="177">
        <f t="shared" si="46"/>
        <v>6.96</v>
      </c>
      <c r="AZ84" s="177">
        <f t="shared" si="46"/>
        <v>6.96</v>
      </c>
      <c r="BA84" s="177">
        <f t="shared" si="46"/>
        <v>6.96</v>
      </c>
      <c r="BB84" s="177">
        <f t="shared" si="46"/>
        <v>6.96</v>
      </c>
      <c r="BC84" s="177">
        <f t="shared" si="46"/>
        <v>6.96</v>
      </c>
      <c r="BD84" s="177">
        <f t="shared" si="46"/>
        <v>6.96</v>
      </c>
      <c r="BE84" s="177">
        <f t="shared" si="46"/>
        <v>6.96</v>
      </c>
      <c r="BF84" s="177">
        <f t="shared" si="46"/>
        <v>6.96</v>
      </c>
      <c r="BG84" s="177">
        <f t="shared" si="46"/>
        <v>6.96</v>
      </c>
      <c r="BH84" s="177">
        <f t="shared" si="46"/>
        <v>6.96</v>
      </c>
      <c r="BI84" s="177">
        <f t="shared" si="46"/>
        <v>6.96</v>
      </c>
      <c r="BJ84" s="177">
        <f t="shared" si="46"/>
        <v>6.96</v>
      </c>
      <c r="BK84" s="177">
        <f t="shared" si="46"/>
        <v>6.96</v>
      </c>
      <c r="BL84" s="394">
        <f t="shared" si="46"/>
        <v>6.96</v>
      </c>
      <c r="BM84" s="177">
        <f t="shared" si="46"/>
        <v>6.96</v>
      </c>
      <c r="BN84" s="317">
        <f t="shared" si="46"/>
        <v>6.96</v>
      </c>
      <c r="BO84" s="317">
        <f t="shared" si="46"/>
        <v>6.96</v>
      </c>
      <c r="BP84" s="317">
        <f t="shared" si="46"/>
        <v>6.96</v>
      </c>
      <c r="BQ84" s="317">
        <f t="shared" si="46"/>
        <v>6.96</v>
      </c>
      <c r="BR84" s="317">
        <f t="shared" ref="BR84:CM84" si="47">+BR85+0.1</f>
        <v>6.96</v>
      </c>
      <c r="BS84" s="401">
        <f t="shared" si="47"/>
        <v>6.96</v>
      </c>
      <c r="BT84" s="317">
        <f t="shared" si="47"/>
        <v>6.96</v>
      </c>
      <c r="BU84" s="402">
        <f t="shared" si="47"/>
        <v>6.96</v>
      </c>
      <c r="BV84" s="402">
        <f t="shared" si="47"/>
        <v>6.96</v>
      </c>
      <c r="BW84" s="402">
        <f t="shared" si="47"/>
        <v>6.96</v>
      </c>
      <c r="BX84" s="402">
        <f t="shared" si="47"/>
        <v>6.96</v>
      </c>
      <c r="BY84" s="317">
        <f t="shared" si="47"/>
        <v>6.96</v>
      </c>
      <c r="BZ84" s="402">
        <f t="shared" si="47"/>
        <v>6.96</v>
      </c>
      <c r="CA84" s="317">
        <f t="shared" si="47"/>
        <v>6.96</v>
      </c>
      <c r="CB84" s="317">
        <f t="shared" si="47"/>
        <v>6.96</v>
      </c>
      <c r="CC84" s="402">
        <f t="shared" si="47"/>
        <v>6.96</v>
      </c>
      <c r="CD84" s="402">
        <f t="shared" si="47"/>
        <v>6.96</v>
      </c>
      <c r="CE84" s="317">
        <f t="shared" si="47"/>
        <v>6.96</v>
      </c>
      <c r="CF84" s="317">
        <f t="shared" si="47"/>
        <v>6.96</v>
      </c>
      <c r="CG84" s="317">
        <f t="shared" si="47"/>
        <v>6.96</v>
      </c>
      <c r="CH84" s="317">
        <f t="shared" si="47"/>
        <v>6.96</v>
      </c>
      <c r="CI84" s="317">
        <f t="shared" si="47"/>
        <v>6.96</v>
      </c>
      <c r="CJ84" s="317">
        <f t="shared" si="47"/>
        <v>6.96</v>
      </c>
      <c r="CK84" s="317">
        <f t="shared" si="47"/>
        <v>6.96</v>
      </c>
      <c r="CL84" s="650">
        <f t="shared" si="47"/>
        <v>6.96</v>
      </c>
      <c r="CM84" s="650">
        <f t="shared" si="47"/>
        <v>6.96</v>
      </c>
      <c r="CN84" s="650">
        <v>6.96</v>
      </c>
      <c r="CO84" s="650">
        <v>6.96</v>
      </c>
      <c r="CP84" s="688">
        <f>+CP85+0.1</f>
        <v>6.96</v>
      </c>
      <c r="CQ84" s="688">
        <f>+CQ85+0.1</f>
        <v>6.96</v>
      </c>
      <c r="CR84" s="650">
        <f>+CR85+0.1</f>
        <v>6.96</v>
      </c>
      <c r="CS84" s="688">
        <f>+CS85+0.1</f>
        <v>6.96</v>
      </c>
      <c r="CT84" s="710">
        <v>6.96</v>
      </c>
      <c r="CU84" s="688">
        <f>+CU85+0.1</f>
        <v>6.96</v>
      </c>
      <c r="CV84" s="688">
        <f>+CV85+0.1</f>
        <v>6.96</v>
      </c>
      <c r="CW84" s="688">
        <f>+CW85+0.1</f>
        <v>6.96</v>
      </c>
      <c r="CX84" s="688">
        <f>+CX85+0.1</f>
        <v>6.96</v>
      </c>
      <c r="CY84" s="650">
        <f t="shared" ref="CY84:DM84" si="48">+CY85+0.1</f>
        <v>6.96</v>
      </c>
      <c r="CZ84" s="650">
        <f t="shared" si="48"/>
        <v>6.96</v>
      </c>
      <c r="DA84" s="688">
        <f t="shared" si="48"/>
        <v>6.96</v>
      </c>
      <c r="DB84" s="688">
        <f t="shared" si="48"/>
        <v>6.96</v>
      </c>
      <c r="DC84" s="688">
        <f t="shared" si="48"/>
        <v>6.96</v>
      </c>
      <c r="DD84" s="688">
        <f t="shared" si="48"/>
        <v>6.96</v>
      </c>
      <c r="DE84" s="688">
        <f t="shared" si="48"/>
        <v>6.96</v>
      </c>
      <c r="DF84" s="700">
        <f t="shared" si="48"/>
        <v>6.96</v>
      </c>
      <c r="DG84" s="688">
        <f t="shared" si="48"/>
        <v>6.96</v>
      </c>
      <c r="DH84" s="688">
        <f t="shared" si="48"/>
        <v>6.96</v>
      </c>
      <c r="DI84" s="700">
        <f t="shared" si="48"/>
        <v>6.96</v>
      </c>
      <c r="DJ84" s="700">
        <f t="shared" si="48"/>
        <v>6.96</v>
      </c>
      <c r="DK84" s="700">
        <f t="shared" si="48"/>
        <v>6.96</v>
      </c>
      <c r="DL84" s="700">
        <f t="shared" si="48"/>
        <v>6.96</v>
      </c>
      <c r="DM84" s="700">
        <f t="shared" si="48"/>
        <v>6.96</v>
      </c>
      <c r="DN84" s="331">
        <f>DM84-DH84</f>
        <v>0</v>
      </c>
      <c r="DO84" s="715">
        <f>(+(DM84/DH84-1))*100</f>
        <v>0</v>
      </c>
      <c r="DP84" s="458"/>
      <c r="DQ84" s="263"/>
      <c r="DR84" s="269"/>
    </row>
    <row r="85" spans="1:122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688">
        <v>6.86</v>
      </c>
      <c r="DH85" s="688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331">
        <f>DM85-DH85</f>
        <v>0</v>
      </c>
      <c r="DO85" s="715">
        <f>(+(DM85/DH85-1))*100</f>
        <v>0</v>
      </c>
      <c r="DP85" s="458"/>
      <c r="DQ85" s="263"/>
      <c r="DR85" s="269"/>
    </row>
    <row r="86" spans="1:122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480">
        <v>6.9607370298756024</v>
      </c>
      <c r="DH86" s="480">
        <v>6.956082664045895</v>
      </c>
      <c r="DI86" s="578">
        <v>6.9619261130712022</v>
      </c>
      <c r="DJ86" s="578">
        <v>6.9634784302770196</v>
      </c>
      <c r="DK86" s="578">
        <v>6.9692365687833124</v>
      </c>
      <c r="DL86" s="578">
        <v>6.9651717592029092</v>
      </c>
      <c r="DM86" s="578">
        <v>6.9570146719047186</v>
      </c>
      <c r="DN86" s="331">
        <f>DM86-DH86</f>
        <v>9.3200785882352477E-4</v>
      </c>
      <c r="DO86" s="715">
        <f>(+(DM86/DH86-1))*100</f>
        <v>1.339845864167799E-2</v>
      </c>
      <c r="DP86" s="695"/>
      <c r="DQ86" s="263"/>
      <c r="DR86" s="269"/>
    </row>
    <row r="87" spans="1:122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885"/>
      <c r="DF87" s="310"/>
      <c r="DG87" s="885"/>
      <c r="DH87" s="885"/>
      <c r="DI87" s="310"/>
      <c r="DJ87" s="310"/>
      <c r="DK87" s="310"/>
      <c r="DL87" s="310"/>
      <c r="DM87" s="310"/>
      <c r="DN87" s="331"/>
      <c r="DO87" s="715"/>
      <c r="DP87" s="458"/>
      <c r="DQ87" s="263"/>
      <c r="DR87" s="269"/>
    </row>
    <row r="88" spans="1:122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f>+[127]MACRO!$I$1</f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f>+[79]MACRO!$I$1</f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886">
        <v>2.2102599999999999</v>
      </c>
      <c r="DF88" s="893">
        <v>2.2110699999999999</v>
      </c>
      <c r="DG88" s="886">
        <v>2.2121200000000001</v>
      </c>
      <c r="DH88" s="886">
        <v>2.2131699999999999</v>
      </c>
      <c r="DI88" s="701">
        <v>2.2136200000000001</v>
      </c>
      <c r="DJ88" s="701">
        <v>2.2137699999999998</v>
      </c>
      <c r="DK88" s="701">
        <v>2.2139199999999999</v>
      </c>
      <c r="DL88" s="701">
        <v>2.21407</v>
      </c>
      <c r="DM88" s="701">
        <v>2.2142300000000001</v>
      </c>
      <c r="DN88" s="331">
        <f>DM88-DH88</f>
        <v>1.0600000000002829E-3</v>
      </c>
      <c r="DO88" s="715">
        <f>(+(DM88/DH88-1))*100</f>
        <v>4.789510069267422E-2</v>
      </c>
      <c r="DP88" s="458"/>
      <c r="DQ88" s="603"/>
      <c r="DR88" s="269"/>
    </row>
    <row r="89" spans="1:122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885"/>
      <c r="DF89" s="310"/>
      <c r="DG89" s="885"/>
      <c r="DH89" s="885"/>
      <c r="DI89" s="310"/>
      <c r="DJ89" s="310"/>
      <c r="DK89" s="310"/>
      <c r="DL89" s="310"/>
      <c r="DM89" s="310"/>
      <c r="DN89" s="529"/>
      <c r="DO89" s="733"/>
      <c r="DP89" s="458"/>
      <c r="DQ89" s="263"/>
      <c r="DR89" s="269"/>
    </row>
    <row r="90" spans="1:122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42"/>
      <c r="DH90" s="842"/>
      <c r="DI90" s="762"/>
      <c r="DJ90" s="762"/>
      <c r="DK90" s="762"/>
      <c r="DL90" s="762"/>
      <c r="DM90" s="762"/>
      <c r="DN90" s="524"/>
      <c r="DO90" s="716"/>
      <c r="DP90" s="458"/>
      <c r="DQ90" s="263"/>
      <c r="DR90" s="269"/>
    </row>
    <row r="91" spans="1:122" ht="12.75" customHeight="1" thickBot="1" x14ac:dyDescent="0.25">
      <c r="A91" s="204"/>
      <c r="B91" s="899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82">
        <v>1116.7840454832913</v>
      </c>
      <c r="DG91" s="811">
        <v>1100.9625167644533</v>
      </c>
      <c r="DH91" s="811">
        <v>1079.9276894472505</v>
      </c>
      <c r="DI91" s="882">
        <v>1079.9276894472505</v>
      </c>
      <c r="DJ91" s="882">
        <v>1079.9276894472505</v>
      </c>
      <c r="DK91" s="813">
        <v>1079.9276894472505</v>
      </c>
      <c r="DL91" s="813">
        <v>1079.9276894472505</v>
      </c>
      <c r="DM91" s="813">
        <v>1120.6303623646254</v>
      </c>
      <c r="DN91" s="331">
        <f>DM91-DH91</f>
        <v>40.702672917374912</v>
      </c>
      <c r="DO91" s="715">
        <f>(+(DM91/DH91-1))*100</f>
        <v>3.7690183625357587</v>
      </c>
      <c r="DP91" s="695"/>
      <c r="DQ91" s="603"/>
      <c r="DR91" s="269"/>
    </row>
    <row r="92" spans="1:122" x14ac:dyDescent="0.2">
      <c r="A92" s="204"/>
      <c r="B92" s="899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381"/>
      <c r="DH92" s="381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">
      <c r="A93" s="204"/>
      <c r="B93" s="89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887"/>
      <c r="DF93" s="360"/>
      <c r="DG93" s="887"/>
      <c r="DH93" s="887"/>
      <c r="DI93" s="360"/>
      <c r="DJ93" s="360"/>
      <c r="DK93" s="360"/>
      <c r="DL93" s="360"/>
      <c r="DM93" s="360"/>
      <c r="DN93" s="527"/>
      <c r="DO93" s="673"/>
      <c r="DP93" s="458"/>
      <c r="DQ93" s="263"/>
    </row>
    <row r="94" spans="1:122" x14ac:dyDescent="0.2">
      <c r="A94" s="204"/>
      <c r="B94" s="89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887"/>
      <c r="DF94" s="360"/>
      <c r="DG94" s="887"/>
      <c r="DH94" s="887"/>
      <c r="DI94" s="360"/>
      <c r="DJ94" s="360"/>
      <c r="DK94" s="360"/>
      <c r="DL94" s="360"/>
      <c r="DM94" s="360"/>
      <c r="DN94" s="527"/>
      <c r="DO94" s="673"/>
      <c r="DP94" s="458"/>
      <c r="DQ94" s="263"/>
    </row>
    <row r="95" spans="1:122" x14ac:dyDescent="0.2">
      <c r="A95" s="204"/>
      <c r="B95" s="89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887"/>
      <c r="DF95" s="360"/>
      <c r="DG95" s="887"/>
      <c r="DH95" s="887"/>
      <c r="DI95" s="360"/>
      <c r="DJ95" s="360"/>
      <c r="DK95" s="360"/>
      <c r="DL95" s="360"/>
      <c r="DM95" s="360"/>
      <c r="DN95" s="527"/>
      <c r="DO95" s="673"/>
      <c r="DP95" s="458"/>
      <c r="DQ95" s="263"/>
    </row>
    <row r="96" spans="1:122" x14ac:dyDescent="0.2">
      <c r="A96" s="204"/>
      <c r="B96" s="89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887"/>
      <c r="DF96" s="360"/>
      <c r="DG96" s="887"/>
      <c r="DH96" s="887"/>
      <c r="DI96" s="360"/>
      <c r="DJ96" s="360"/>
      <c r="DK96" s="360"/>
      <c r="DL96" s="360"/>
      <c r="DM96" s="360"/>
      <c r="DN96" s="527"/>
      <c r="DO96" s="673"/>
      <c r="DP96" s="458"/>
      <c r="DQ96" s="263"/>
    </row>
    <row r="97" spans="1:121" x14ac:dyDescent="0.2">
      <c r="A97" s="204"/>
      <c r="B97" s="89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887"/>
      <c r="DF97" s="360"/>
      <c r="DG97" s="887"/>
      <c r="DH97" s="887"/>
      <c r="DI97" s="360"/>
      <c r="DJ97" s="360"/>
      <c r="DK97" s="360"/>
      <c r="DL97" s="360"/>
      <c r="DM97" s="360"/>
      <c r="DN97" s="527"/>
      <c r="DO97" s="673"/>
      <c r="DP97" s="458"/>
      <c r="DQ97" s="263"/>
    </row>
    <row r="98" spans="1:121" x14ac:dyDescent="0.2">
      <c r="A98" s="204"/>
      <c r="B98" s="89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f>(0.581731519168357/100)*100</f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887"/>
      <c r="DF98" s="360"/>
      <c r="DG98" s="887"/>
      <c r="DH98" s="887"/>
      <c r="DI98" s="360"/>
      <c r="DJ98" s="360"/>
      <c r="DK98" s="360"/>
      <c r="DL98" s="360"/>
      <c r="DM98" s="360"/>
      <c r="DN98" s="527"/>
      <c r="DO98" s="673"/>
      <c r="DP98" s="458"/>
      <c r="DQ98" s="263"/>
    </row>
    <row r="99" spans="1:121" x14ac:dyDescent="0.2">
      <c r="A99" s="204"/>
      <c r="B99" s="89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f>(4.33684902269107/100)*100</f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887"/>
      <c r="DF99" s="360"/>
      <c r="DG99" s="887"/>
      <c r="DH99" s="887"/>
      <c r="DI99" s="360"/>
      <c r="DJ99" s="360"/>
      <c r="DK99" s="360"/>
      <c r="DL99" s="360"/>
      <c r="DM99" s="360"/>
      <c r="DN99" s="527"/>
      <c r="DO99" s="673"/>
      <c r="DP99" s="458"/>
      <c r="DQ99" s="263"/>
    </row>
    <row r="100" spans="1:121" x14ac:dyDescent="0.2">
      <c r="A100" s="204"/>
      <c r="B100" s="89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f>(4.33684902269107/100)*100</f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887"/>
      <c r="DF100" s="360"/>
      <c r="DG100" s="887"/>
      <c r="DH100" s="887"/>
      <c r="DI100" s="360"/>
      <c r="DJ100" s="360"/>
      <c r="DK100" s="360"/>
      <c r="DL100" s="360"/>
      <c r="DM100" s="360"/>
      <c r="DN100" s="527"/>
      <c r="DO100" s="673"/>
      <c r="DP100" s="458"/>
      <c r="DQ100" s="263"/>
    </row>
    <row r="101" spans="1:121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f>(0.000838959696703555)*100</f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887"/>
      <c r="DF101" s="360"/>
      <c r="DG101" s="887"/>
      <c r="DH101" s="887"/>
      <c r="DI101" s="360"/>
      <c r="DJ101" s="360"/>
      <c r="DK101" s="360"/>
      <c r="DL101" s="360"/>
      <c r="DM101" s="360"/>
      <c r="DN101" s="527"/>
      <c r="DO101" s="673"/>
      <c r="DP101" s="458"/>
      <c r="DQ101" s="263"/>
    </row>
    <row r="102" spans="1:121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887"/>
      <c r="DF102" s="360"/>
      <c r="DG102" s="887"/>
      <c r="DH102" s="887"/>
      <c r="DI102" s="360"/>
      <c r="DJ102" s="360"/>
      <c r="DK102" s="360"/>
      <c r="DL102" s="360"/>
      <c r="DM102" s="360"/>
      <c r="DN102" s="527"/>
      <c r="DO102" s="673"/>
      <c r="DP102" s="458"/>
      <c r="DQ102" s="263"/>
    </row>
    <row r="103" spans="1:121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887"/>
      <c r="DF103" s="360"/>
      <c r="DG103" s="887"/>
      <c r="DH103" s="887"/>
      <c r="DI103" s="360"/>
      <c r="DJ103" s="360"/>
      <c r="DK103" s="360"/>
      <c r="DL103" s="360"/>
      <c r="DM103" s="360"/>
      <c r="DN103" s="527"/>
      <c r="DO103" s="673"/>
      <c r="DP103" s="458"/>
      <c r="DQ103" s="263"/>
    </row>
    <row r="104" spans="1:121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888"/>
      <c r="DF104" s="883"/>
      <c r="DG104" s="888"/>
      <c r="DH104" s="888"/>
      <c r="DI104" s="883"/>
      <c r="DJ104" s="883"/>
      <c r="DK104" s="671"/>
      <c r="DL104" s="671"/>
      <c r="DM104" s="671"/>
      <c r="DN104" s="527"/>
      <c r="DO104" s="673"/>
      <c r="DP104" s="458"/>
      <c r="DQ104" s="263"/>
    </row>
    <row r="105" spans="1:121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381"/>
      <c r="DH105" s="381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689">
        <v>2.5</v>
      </c>
      <c r="DH106" s="689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331" t="s">
        <v>3</v>
      </c>
      <c r="DO106" s="704"/>
      <c r="DP106" s="458"/>
      <c r="DQ106" s="263"/>
    </row>
    <row r="107" spans="1:121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884">
        <v>4</v>
      </c>
      <c r="DG107" s="690">
        <v>4</v>
      </c>
      <c r="DH107" s="690">
        <v>4</v>
      </c>
      <c r="DI107" s="884">
        <v>4</v>
      </c>
      <c r="DJ107" s="884">
        <v>4</v>
      </c>
      <c r="DK107" s="672">
        <v>4</v>
      </c>
      <c r="DL107" s="672">
        <v>4</v>
      </c>
      <c r="DM107" s="672">
        <v>4</v>
      </c>
      <c r="DN107" s="529" t="s">
        <v>3</v>
      </c>
      <c r="DO107" s="461"/>
      <c r="DP107" s="458"/>
      <c r="DQ107" s="263"/>
    </row>
    <row r="108" spans="1:121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898"/>
      <c r="DO109" s="898"/>
      <c r="DP109" s="346"/>
      <c r="DQ109" s="263"/>
    </row>
    <row r="110" spans="1:121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9"/>
      <c r="DL114" s="659"/>
      <c r="DM114" s="659"/>
      <c r="DN114" s="279"/>
      <c r="DO114" s="279"/>
      <c r="DP114" s="346"/>
      <c r="DQ114" s="263"/>
    </row>
    <row r="115" spans="3:121" ht="13.5" customHeight="1" x14ac:dyDescent="0.25">
      <c r="C115" s="6">
        <v>2</v>
      </c>
      <c r="D115" s="1" t="s">
        <v>35</v>
      </c>
      <c r="DK115" s="658"/>
      <c r="DL115" s="658"/>
      <c r="DM115" s="658"/>
      <c r="DN115" s="279"/>
      <c r="DO115" s="279"/>
      <c r="DP115" s="346"/>
      <c r="DQ115" s="263"/>
    </row>
    <row r="116" spans="3:121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8"/>
      <c r="DL116" s="658"/>
      <c r="DM116" s="658"/>
      <c r="DN116" s="279"/>
      <c r="DO116" s="279"/>
      <c r="DP116" s="346"/>
      <c r="DQ116" s="263"/>
    </row>
    <row r="117" spans="3:121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8"/>
      <c r="DL117" s="658"/>
      <c r="DM117" s="658"/>
      <c r="DN117" s="279"/>
      <c r="DO117" s="279"/>
      <c r="DP117" s="346"/>
      <c r="DQ117" s="263"/>
    </row>
    <row r="118" spans="3:121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8"/>
      <c r="DL118" s="658"/>
      <c r="DM118" s="658"/>
      <c r="DN118" s="279"/>
      <c r="DO118" s="279"/>
      <c r="DP118" s="346"/>
      <c r="DQ118" s="263"/>
    </row>
    <row r="119" spans="3:121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25">
      <c r="C128" s="6">
        <v>14</v>
      </c>
      <c r="D128" s="1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">
      <c r="E202" s="132"/>
      <c r="F202" s="132"/>
      <c r="G202" s="132"/>
      <c r="H202" s="132"/>
      <c r="I202" s="132"/>
      <c r="J202" s="132"/>
      <c r="K202" s="132"/>
    </row>
    <row r="203" spans="3:119" x14ac:dyDescent="0.2">
      <c r="E203" s="132"/>
      <c r="F203" s="132"/>
      <c r="G203" s="132"/>
      <c r="H203" s="132"/>
      <c r="I203" s="132"/>
      <c r="J203" s="132"/>
      <c r="K203" s="132"/>
    </row>
    <row r="204" spans="3:119" x14ac:dyDescent="0.2">
      <c r="E204" s="132"/>
      <c r="F204" s="132"/>
      <c r="G204" s="132"/>
      <c r="H204" s="132"/>
      <c r="I204" s="132"/>
      <c r="J204" s="132"/>
      <c r="K204" s="13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3" orientation="portrait" r:id="rId1"/>
  <headerFooter alignWithMargins="0"/>
  <ignoredErrors>
    <ignoredError sqref="E46:G50 AC86:AN86 AC91:AM91 AT46:AV47 DN108:DO112 DN92:DN107 AV18 AP84:AV84 AC84:AO85 AF46:AS50 AC88:AN89 BP51:BQ51 Q15:BV15 BA46:BV50 DO113 E17:CO1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6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8" width="8.85546875" customWidth="1"/>
    <col min="119" max="119" width="9.5703125" customWidth="1"/>
    <col min="120" max="138" width="11.42578125" style="200"/>
  </cols>
  <sheetData>
    <row r="2" spans="3:130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02" t="str">
        <f>+entero!D3</f>
        <v>V   A   R   I   A   B   L   E   S     b/</v>
      </c>
      <c r="E4" s="904" t="str">
        <f>+entero!E3</f>
        <v>2008                          A  fines de Dic*</v>
      </c>
      <c r="F4" s="904" t="str">
        <f>+entero!F3</f>
        <v>2009                          A  fines de Ene*</v>
      </c>
      <c r="G4" s="904" t="str">
        <f>+entero!G3</f>
        <v>2009                          A  fines de Feb*</v>
      </c>
      <c r="H4" s="904" t="str">
        <f>+entero!H3</f>
        <v>2009                          A  fines de Mar*</v>
      </c>
      <c r="I4" s="904" t="str">
        <f>+entero!I3</f>
        <v>2009                          A  fines de Abr*</v>
      </c>
      <c r="J4" s="904" t="str">
        <f>+entero!J3</f>
        <v>2009                          A  fines de May*</v>
      </c>
      <c r="K4" s="904" t="str">
        <f>+entero!K3</f>
        <v>2009                          A  fines de Jun*</v>
      </c>
      <c r="L4" s="904" t="str">
        <f>+entero!L3</f>
        <v>2009                          A  fines de Jul*</v>
      </c>
      <c r="M4" s="904" t="str">
        <f>+entero!M3</f>
        <v>2009                          A  fines de Ago*</v>
      </c>
      <c r="N4" s="904" t="str">
        <f>+entero!N3</f>
        <v>2009                          A  fines de Sep*</v>
      </c>
      <c r="O4" s="904" t="str">
        <f>+entero!O3</f>
        <v>2009                          A  fines de Oct*</v>
      </c>
      <c r="P4" s="904" t="str">
        <f>+entero!P3</f>
        <v>2009                          A  fines de Nov*</v>
      </c>
      <c r="Q4" s="904" t="str">
        <f>+entero!Q3</f>
        <v>2009                          A  fines de Dic*</v>
      </c>
      <c r="R4" s="904" t="str">
        <f>+entero!R3</f>
        <v>2010                          A  fines de Ene*</v>
      </c>
      <c r="S4" s="904" t="str">
        <f>+entero!S3</f>
        <v>2010                          A  fines de Feb*</v>
      </c>
      <c r="T4" s="904" t="str">
        <f>+entero!T3</f>
        <v>2010                          A  fines de Mar*</v>
      </c>
      <c r="U4" s="904" t="str">
        <f>+entero!U3</f>
        <v>2010                          A  fines de Abr*</v>
      </c>
      <c r="V4" s="904" t="str">
        <f>+entero!V3</f>
        <v>2010                          A  fines de May*</v>
      </c>
      <c r="W4" s="904" t="str">
        <f>+entero!W3</f>
        <v>2010                          A  fines de Jun*</v>
      </c>
      <c r="X4" s="904" t="str">
        <f>+entero!X3</f>
        <v>2010                          A  fines de Jul*</v>
      </c>
      <c r="Y4" s="904" t="str">
        <f>+entero!Y3</f>
        <v>2010                          A  fines de Ago*</v>
      </c>
      <c r="Z4" s="904" t="str">
        <f>+entero!Z3</f>
        <v>2010                          A  fines de Sep*</v>
      </c>
      <c r="AA4" s="904" t="str">
        <f>+entero!AA3</f>
        <v>2010                          A  fines de Oct*</v>
      </c>
      <c r="AB4" s="904" t="str">
        <f>+entero!AB3</f>
        <v>2010                          A  fines de Nov*</v>
      </c>
      <c r="AC4" s="904" t="str">
        <f>+entero!AC3</f>
        <v>2010                          A  fines de Dic*</v>
      </c>
      <c r="AD4" s="904" t="str">
        <f>+entero!AD3</f>
        <v>2011                          A  fines de Ene*</v>
      </c>
      <c r="AE4" s="904" t="str">
        <f>+entero!AE3</f>
        <v>2011                          A  fines de Feb*</v>
      </c>
      <c r="AF4" s="904" t="str">
        <f>+entero!AF3</f>
        <v>2011                          A  fines de Mar*</v>
      </c>
      <c r="AG4" s="904" t="str">
        <f>+entero!AG3</f>
        <v>2011                          A  fines de Abr*</v>
      </c>
      <c r="AH4" s="904" t="str">
        <f>+entero!AH3</f>
        <v>2011                          A  fines de May*</v>
      </c>
      <c r="AI4" s="904" t="str">
        <f>+entero!AI3</f>
        <v>2011                          A  fines de Jun*</v>
      </c>
      <c r="AJ4" s="904" t="str">
        <f>+entero!AJ3</f>
        <v>2011                          A  fines de Jul*</v>
      </c>
      <c r="AK4" s="904" t="str">
        <f>+entero!AK3</f>
        <v>2011                          A  fines de Ago*</v>
      </c>
      <c r="AL4" s="904" t="str">
        <f>+entero!AL3</f>
        <v>2011                          A  fines de Sep*</v>
      </c>
      <c r="AM4" s="904" t="str">
        <f>+entero!AM3</f>
        <v>2011                          A  fines de Oct*</v>
      </c>
      <c r="AN4" s="904" t="str">
        <f>+entero!AN3</f>
        <v>2011                          A  fines de Nov*</v>
      </c>
      <c r="AO4" s="904" t="str">
        <f>+entero!AO3</f>
        <v>2011                          A  fines de Dic*</v>
      </c>
      <c r="AP4" s="904" t="str">
        <f>+entero!AP3</f>
        <v>2012                          A  fines de Ene*</v>
      </c>
      <c r="AQ4" s="904" t="str">
        <f>+entero!AQ3</f>
        <v>2012                          A  fines de Feb*</v>
      </c>
      <c r="AR4" s="904" t="str">
        <f>+entero!AR3</f>
        <v>2012                          A  fines de Mar*</v>
      </c>
      <c r="AS4" s="904" t="str">
        <f>+entero!AS3</f>
        <v>2012                          A  fines de Abr*</v>
      </c>
      <c r="AT4" s="904" t="str">
        <f>+entero!AT3</f>
        <v>2012                          A  fines de May*</v>
      </c>
      <c r="AU4" s="904" t="str">
        <f>+entero!AU3</f>
        <v>2012                          A  fines de Jun*</v>
      </c>
      <c r="AV4" s="904" t="str">
        <f>+entero!AV3</f>
        <v>2012                          A  fines de Jul*</v>
      </c>
      <c r="AW4" s="904" t="str">
        <f>+entero!AW3</f>
        <v>2012                          A  fines de Ago*</v>
      </c>
      <c r="AX4" s="904" t="str">
        <f>+entero!AX3</f>
        <v>2012                          A  fines de Sep*</v>
      </c>
      <c r="AY4" s="904" t="str">
        <f>+entero!AY3</f>
        <v>2012                          A  fines de Oct*</v>
      </c>
      <c r="AZ4" s="904" t="str">
        <f>+entero!AZ3</f>
        <v>2012                          A  fines de Nov*</v>
      </c>
      <c r="BA4" s="904" t="str">
        <f>+entero!BA3</f>
        <v>2012                          A  fines de Dic*</v>
      </c>
      <c r="BB4" s="904" t="str">
        <f>+entero!BB3</f>
        <v>2013                          A  fines de Ene*</v>
      </c>
      <c r="BC4" s="904" t="str">
        <f>+entero!BC3</f>
        <v>2013                          A  fines de Feb*</v>
      </c>
      <c r="BD4" s="904" t="str">
        <f>+entero!BD3</f>
        <v>2013                          A  fines de Mar*</v>
      </c>
      <c r="BE4" s="904" t="str">
        <f>+entero!BE3</f>
        <v>2013                          A  fines de Abr*</v>
      </c>
      <c r="BF4" s="904" t="str">
        <f>+entero!BF3</f>
        <v>2013                          A  fines de May*</v>
      </c>
      <c r="BG4" s="904" t="str">
        <f>+entero!BG3</f>
        <v>2013                          A  fines de Jun*</v>
      </c>
      <c r="BH4" s="904" t="str">
        <f>+entero!BH3</f>
        <v>2013                          A  fines de Jul*</v>
      </c>
      <c r="BI4" s="904" t="str">
        <f>+entero!BI3</f>
        <v>2013                          A  fines de Ago*</v>
      </c>
      <c r="BJ4" s="904" t="str">
        <f>+entero!BJ3</f>
        <v>2013                          A  fines de Sep*</v>
      </c>
      <c r="BK4" s="904" t="str">
        <f>+entero!BK3</f>
        <v>2013                          A  fines de Oct*</v>
      </c>
      <c r="BL4" s="904" t="str">
        <f>+entero!BL3</f>
        <v>2013                          A  fines de Nov*</v>
      </c>
      <c r="BM4" s="904" t="str">
        <f>+entero!BM3</f>
        <v>2013                          A  fines de Dic*</v>
      </c>
      <c r="BN4" s="904" t="str">
        <f>+entero!BN3</f>
        <v>2014                          A  fines de Ene*</v>
      </c>
      <c r="BO4" s="904" t="str">
        <f>+entero!BO3</f>
        <v>2014                          A  fines de Feb*</v>
      </c>
      <c r="BP4" s="904" t="str">
        <f>+entero!BP3</f>
        <v>2014                          A  fines de Mar*</v>
      </c>
      <c r="BQ4" s="904" t="str">
        <f>+entero!BQ3</f>
        <v>2014                          A  fines de Abr*</v>
      </c>
      <c r="BR4" s="904" t="str">
        <f>+entero!BR3</f>
        <v>2014                          A  fines de May*</v>
      </c>
      <c r="BS4" s="904" t="str">
        <f>+entero!BS3</f>
        <v>2014                          A  fines de Jun*</v>
      </c>
      <c r="BT4" s="904" t="str">
        <f>+entero!BT3</f>
        <v>2014                          A  fines de Jul*</v>
      </c>
      <c r="BU4" s="904" t="str">
        <f>+entero!BU3</f>
        <v>2014                          A  fines de Ago*</v>
      </c>
      <c r="BV4" s="904" t="str">
        <f>+entero!BV3</f>
        <v>2014                          A  fines de Sep*</v>
      </c>
      <c r="BW4" s="904" t="str">
        <f>+entero!BW3</f>
        <v>2014                          A  fines de Oct*</v>
      </c>
      <c r="BX4" s="904" t="str">
        <f>+entero!BX3</f>
        <v>2014                          A  fines de Nov*</v>
      </c>
      <c r="BY4" s="904" t="str">
        <f>+entero!BY3</f>
        <v>2014                          A  fines de Dic*</v>
      </c>
      <c r="BZ4" s="904" t="str">
        <f>+entero!BZ3</f>
        <v>2015                         A  fines de Ene*</v>
      </c>
      <c r="CA4" s="904" t="str">
        <f>+entero!CA3</f>
        <v>2015                         A  fines de Feb*</v>
      </c>
      <c r="CB4" s="904" t="str">
        <f>+entero!CB3</f>
        <v>2015                         A  fines de Mar*</v>
      </c>
      <c r="CC4" s="904" t="str">
        <f>+entero!CC3</f>
        <v xml:space="preserve">2015                         A  fines de Abr* </v>
      </c>
      <c r="CD4" s="904" t="str">
        <f>+entero!CD3</f>
        <v xml:space="preserve">2015                         A  fines de May* </v>
      </c>
      <c r="CE4" s="904" t="str">
        <f>+entero!CE3</f>
        <v xml:space="preserve">2015                         A  fines de Jun* </v>
      </c>
      <c r="CF4" s="904" t="str">
        <f>+entero!CF3</f>
        <v xml:space="preserve">2015                         A  fines de Jul* </v>
      </c>
      <c r="CG4" s="904" t="str">
        <f>+entero!CG3</f>
        <v xml:space="preserve">2015                         A  fines de Ago* </v>
      </c>
      <c r="CH4" s="904" t="str">
        <f>+entero!CH3</f>
        <v xml:space="preserve">2015                         A  fines de Sep* </v>
      </c>
      <c r="CI4" s="904" t="str">
        <f>+entero!CI3</f>
        <v xml:space="preserve">2015                         A  fines de Oct* </v>
      </c>
      <c r="CJ4" s="904" t="str">
        <f>+entero!CJ3</f>
        <v xml:space="preserve">2015                         A  fines de Nov* </v>
      </c>
      <c r="CK4" s="904" t="str">
        <f>+entero!CK3</f>
        <v xml:space="preserve">2015                         A  fines de Dic* </v>
      </c>
      <c r="CL4" s="904" t="str">
        <f>+entero!CL3</f>
        <v xml:space="preserve">2016                         A  fines de Ene* </v>
      </c>
      <c r="CM4" s="904" t="str">
        <f>+entero!CM3</f>
        <v xml:space="preserve">2016                         A  fines de Feb* </v>
      </c>
      <c r="CN4" s="904" t="str">
        <f>+entero!CN3</f>
        <v xml:space="preserve">2016                         A  fines de Mar* </v>
      </c>
      <c r="CO4" s="904" t="str">
        <f>+entero!CO3</f>
        <v xml:space="preserve">2016                         A  fines de Abr* </v>
      </c>
      <c r="CP4" s="904" t="str">
        <f>+entero!CP3</f>
        <v xml:space="preserve">2016                         A  fines de May* </v>
      </c>
      <c r="CQ4" s="904" t="str">
        <f>+entero!CQ3</f>
        <v xml:space="preserve">2016                         A  fines de Jun* </v>
      </c>
      <c r="CR4" s="904" t="str">
        <f>+entero!CR3</f>
        <v xml:space="preserve">2016                         A  fines de Jul* </v>
      </c>
      <c r="CS4" s="904" t="str">
        <f>+entero!CS3</f>
        <v xml:space="preserve">2016                         A  fines de Ago* </v>
      </c>
      <c r="CT4" s="904" t="str">
        <f>+entero!CT3</f>
        <v xml:space="preserve">2016                         A  fines de Sep* </v>
      </c>
      <c r="CU4" s="904" t="str">
        <f>+entero!CU3</f>
        <v xml:space="preserve">2016                         A  fines de Oct* </v>
      </c>
      <c r="CV4" s="904" t="str">
        <f>+entero!CV3</f>
        <v xml:space="preserve">2016                         A  fines de Nov* </v>
      </c>
      <c r="CW4" s="904" t="str">
        <f>+entero!CW3</f>
        <v>2016                         A  fines de Dic* 15</v>
      </c>
      <c r="CX4" s="904" t="str">
        <f>+entero!CX3</f>
        <v xml:space="preserve">2017                         A  fines de Ene* </v>
      </c>
      <c r="CY4" s="904" t="str">
        <f>+entero!CY3</f>
        <v xml:space="preserve">2017                         A  fines de Feb* </v>
      </c>
      <c r="CZ4" s="904" t="str">
        <f>+entero!CZ3</f>
        <v xml:space="preserve">2017                         A  fines de Mar* </v>
      </c>
      <c r="DA4" s="904" t="str">
        <f>+entero!DA3</f>
        <v xml:space="preserve">2017                         A  fines de Abr* </v>
      </c>
      <c r="DB4" s="904" t="str">
        <f>+entero!DB3</f>
        <v xml:space="preserve">2017                         A  fines de May* </v>
      </c>
      <c r="DC4" s="904" t="str">
        <f>+entero!DC3</f>
        <v xml:space="preserve">2017                         A  fines de Jun* </v>
      </c>
      <c r="DD4" s="904" t="str">
        <f>+entero!DD3</f>
        <v xml:space="preserve">2017                         A  fines de Jul* </v>
      </c>
      <c r="DE4" s="913" t="str">
        <f>+entero!DE3</f>
        <v>Semana 1°</v>
      </c>
      <c r="DF4" s="913" t="str">
        <f>+entero!DF3</f>
        <v>Semana 2°</v>
      </c>
      <c r="DG4" s="913" t="str">
        <f>+entero!DG3</f>
        <v>Semana 3°</v>
      </c>
      <c r="DH4" s="913" t="str">
        <f>+entero!DH3</f>
        <v>Semana 4°</v>
      </c>
      <c r="DI4" s="915" t="str">
        <f>+entero!DI3</f>
        <v>Semana 5°</v>
      </c>
      <c r="DJ4" s="916"/>
      <c r="DK4" s="916"/>
      <c r="DL4" s="916"/>
      <c r="DM4" s="917"/>
      <c r="DN4" s="919" t="s">
        <v>27</v>
      </c>
      <c r="DO4" s="920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921"/>
      <c r="E5" s="918"/>
      <c r="F5" s="918"/>
      <c r="G5" s="918"/>
      <c r="H5" s="918"/>
      <c r="I5" s="918"/>
      <c r="J5" s="918"/>
      <c r="K5" s="918"/>
      <c r="L5" s="918"/>
      <c r="M5" s="918"/>
      <c r="N5" s="918"/>
      <c r="O5" s="918"/>
      <c r="P5" s="918"/>
      <c r="Q5" s="918"/>
      <c r="R5" s="918"/>
      <c r="S5" s="918"/>
      <c r="T5" s="918"/>
      <c r="U5" s="918"/>
      <c r="V5" s="918"/>
      <c r="W5" s="918"/>
      <c r="X5" s="918"/>
      <c r="Y5" s="918"/>
      <c r="Z5" s="918"/>
      <c r="AA5" s="918"/>
      <c r="AB5" s="918"/>
      <c r="AC5" s="918"/>
      <c r="AD5" s="918"/>
      <c r="AE5" s="918"/>
      <c r="AF5" s="918"/>
      <c r="AG5" s="918"/>
      <c r="AH5" s="918"/>
      <c r="AI5" s="918"/>
      <c r="AJ5" s="918"/>
      <c r="AK5" s="918"/>
      <c r="AL5" s="918"/>
      <c r="AM5" s="918"/>
      <c r="AN5" s="918"/>
      <c r="AO5" s="918"/>
      <c r="AP5" s="918"/>
      <c r="AQ5" s="918"/>
      <c r="AR5" s="918"/>
      <c r="AS5" s="918"/>
      <c r="AT5" s="918"/>
      <c r="AU5" s="918"/>
      <c r="AV5" s="918"/>
      <c r="AW5" s="918"/>
      <c r="AX5" s="918"/>
      <c r="AY5" s="918"/>
      <c r="AZ5" s="918"/>
      <c r="BA5" s="918"/>
      <c r="BB5" s="918"/>
      <c r="BC5" s="918"/>
      <c r="BD5" s="918"/>
      <c r="BE5" s="918"/>
      <c r="BF5" s="918"/>
      <c r="BG5" s="918"/>
      <c r="BH5" s="918"/>
      <c r="BI5" s="918"/>
      <c r="BJ5" s="918"/>
      <c r="BK5" s="918"/>
      <c r="BL5" s="918"/>
      <c r="BM5" s="918"/>
      <c r="BN5" s="918"/>
      <c r="BO5" s="918"/>
      <c r="BP5" s="918"/>
      <c r="BQ5" s="918"/>
      <c r="BR5" s="918"/>
      <c r="BS5" s="918"/>
      <c r="BT5" s="918"/>
      <c r="BU5" s="918"/>
      <c r="BV5" s="918"/>
      <c r="BW5" s="918"/>
      <c r="BX5" s="918"/>
      <c r="BY5" s="918"/>
      <c r="BZ5" s="918"/>
      <c r="CA5" s="918"/>
      <c r="CB5" s="918"/>
      <c r="CC5" s="918"/>
      <c r="CD5" s="918"/>
      <c r="CE5" s="918"/>
      <c r="CF5" s="918"/>
      <c r="CG5" s="918"/>
      <c r="CH5" s="918"/>
      <c r="CI5" s="918"/>
      <c r="CJ5" s="918"/>
      <c r="CK5" s="918"/>
      <c r="CL5" s="918"/>
      <c r="CM5" s="918"/>
      <c r="CN5" s="918"/>
      <c r="CO5" s="918"/>
      <c r="CP5" s="918"/>
      <c r="CQ5" s="918"/>
      <c r="CR5" s="918"/>
      <c r="CS5" s="918"/>
      <c r="CT5" s="918"/>
      <c r="CU5" s="918"/>
      <c r="CV5" s="918"/>
      <c r="CW5" s="918"/>
      <c r="CX5" s="918"/>
      <c r="CY5" s="918"/>
      <c r="CZ5" s="918"/>
      <c r="DA5" s="918"/>
      <c r="DB5" s="918"/>
      <c r="DC5" s="918"/>
      <c r="DD5" s="918"/>
      <c r="DE5" s="914"/>
      <c r="DF5" s="914"/>
      <c r="DG5" s="914"/>
      <c r="DH5" s="914"/>
      <c r="DI5" s="869">
        <f>+entero!DI4</f>
        <v>42975</v>
      </c>
      <c r="DJ5" s="861">
        <f>+entero!DJ4</f>
        <v>42976</v>
      </c>
      <c r="DK5" s="861">
        <f>+entero!DK4</f>
        <v>42977</v>
      </c>
      <c r="DL5" s="861">
        <f>+entero!DL4</f>
        <v>42978</v>
      </c>
      <c r="DM5" s="861">
        <f>+entero!DM4</f>
        <v>42979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77"/>
      <c r="DG6" s="891"/>
      <c r="DH6" s="892"/>
      <c r="DI6" s="889"/>
      <c r="DJ6" s="849"/>
      <c r="DK6" s="849"/>
      <c r="DL6" s="849"/>
      <c r="DM6" s="849"/>
      <c r="DN6" s="832"/>
      <c r="DO6" s="83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22">
        <f>+entero!DG7</f>
        <v>10450.889557640001</v>
      </c>
      <c r="DH7" s="522">
        <f>+entero!DH7</f>
        <v>10427.930994279999</v>
      </c>
      <c r="DI7" s="531">
        <f>+entero!DI7</f>
        <v>10436.79159097</v>
      </c>
      <c r="DJ7" s="532">
        <f>+entero!DJ7</f>
        <v>10495.693414650001</v>
      </c>
      <c r="DK7" s="532">
        <f>+entero!DK7</f>
        <v>10488.357355220003</v>
      </c>
      <c r="DL7" s="532">
        <f>+entero!DL7</f>
        <v>10452.235888740001</v>
      </c>
      <c r="DM7" s="532">
        <f>+entero!DM7</f>
        <v>10444.413440850001</v>
      </c>
      <c r="DN7" s="531">
        <f>+entero!DN7</f>
        <v>16.482446570002139</v>
      </c>
      <c r="DO7" s="566">
        <f>+entero!DO7</f>
        <v>0.15806056425808901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22">
        <f>+entero!DG8</f>
        <v>8408.9656044700005</v>
      </c>
      <c r="DH8" s="522">
        <f>+entero!DH8</f>
        <v>8388.4913004200007</v>
      </c>
      <c r="DI8" s="531">
        <f>+entero!DI8</f>
        <v>8390.1885554699984</v>
      </c>
      <c r="DJ8" s="532">
        <f>+entero!DJ8</f>
        <v>8419.4911773900003</v>
      </c>
      <c r="DK8" s="532">
        <f>+entero!DK8</f>
        <v>8415.0642428300016</v>
      </c>
      <c r="DL8" s="532">
        <f>+entero!DL8</f>
        <v>8380.7059343500005</v>
      </c>
      <c r="DM8" s="532">
        <f>+entero!DM8</f>
        <v>8353.7473356900009</v>
      </c>
      <c r="DN8" s="531">
        <f>+entero!DN8</f>
        <v>-34.743964729999789</v>
      </c>
      <c r="DO8" s="566">
        <f>+entero!DO8</f>
        <v>-0.41418609718603117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22">
        <f>+entero!DG9</f>
        <v>234.36403721000002</v>
      </c>
      <c r="DH9" s="522">
        <f>+entero!DH9</f>
        <v>235.16105768</v>
      </c>
      <c r="DI9" s="531">
        <f>+entero!DI9</f>
        <v>235.31612651999998</v>
      </c>
      <c r="DJ9" s="532">
        <f>+entero!DJ9</f>
        <v>236.37326246000001</v>
      </c>
      <c r="DK9" s="532">
        <f>+entero!DK9</f>
        <v>237.2586555</v>
      </c>
      <c r="DL9" s="532">
        <f>+entero!DL9</f>
        <v>236.58927219</v>
      </c>
      <c r="DM9" s="532">
        <f>+entero!DM9</f>
        <v>235.78020040000001</v>
      </c>
      <c r="DN9" s="531">
        <f>+entero!DN9</f>
        <v>0.61914272000001347</v>
      </c>
      <c r="DO9" s="566">
        <f>+entero!DO9</f>
        <v>0.2632845446896015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22">
        <f>+entero!DG10</f>
        <v>1770.9801621399999</v>
      </c>
      <c r="DH10" s="522">
        <f>+entero!DH10</f>
        <v>1767.5744826799998</v>
      </c>
      <c r="DI10" s="531">
        <f>+entero!DI10</f>
        <v>1774.55855219</v>
      </c>
      <c r="DJ10" s="532">
        <f>+entero!DJ10</f>
        <v>1802.9356192600001</v>
      </c>
      <c r="DK10" s="532">
        <f>+entero!DK10</f>
        <v>1799.0029084</v>
      </c>
      <c r="DL10" s="532">
        <f>+entero!DL10</f>
        <v>1798.01992251</v>
      </c>
      <c r="DM10" s="532">
        <f>+entero!DM10</f>
        <v>1818.09140415</v>
      </c>
      <c r="DN10" s="531">
        <f>+entero!DN10</f>
        <v>50.51692147000017</v>
      </c>
      <c r="DO10" s="566">
        <f>+entero!DO10</f>
        <v>2.8579797889708436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22">
        <f>+entero!DG11</f>
        <v>36.579753820000001</v>
      </c>
      <c r="DH11" s="522">
        <f>+entero!DH11</f>
        <v>36.704153500000004</v>
      </c>
      <c r="DI11" s="531">
        <f>+entero!DI11</f>
        <v>36.728356789999999</v>
      </c>
      <c r="DJ11" s="532">
        <f>+entero!DJ11</f>
        <v>36.893355539999995</v>
      </c>
      <c r="DK11" s="532">
        <f>+entero!DK11</f>
        <v>37.031548489999999</v>
      </c>
      <c r="DL11" s="532">
        <f>+entero!DL11</f>
        <v>36.920759689999997</v>
      </c>
      <c r="DM11" s="532">
        <f>+entero!DM11</f>
        <v>36.79450061</v>
      </c>
      <c r="DN11" s="531">
        <f>+entero!DN11</f>
        <v>9.0347109999996178E-2</v>
      </c>
      <c r="DO11" s="566">
        <f>+entero!DO11</f>
        <v>0.24614955361930146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22">
        <f>+entero!DG12</f>
        <v>10450.888300030001</v>
      </c>
      <c r="DH12" s="522">
        <f>+entero!DH12</f>
        <v>10427.929736669999</v>
      </c>
      <c r="DI12" s="531">
        <f>+entero!DI12</f>
        <v>10436.790333359999</v>
      </c>
      <c r="DJ12" s="532">
        <f>+entero!DJ12</f>
        <v>10495.692157039999</v>
      </c>
      <c r="DK12" s="532">
        <f>+entero!DK12</f>
        <v>10488.313087610002</v>
      </c>
      <c r="DL12" s="532">
        <f>+entero!DL12</f>
        <v>10452.191524710001</v>
      </c>
      <c r="DM12" s="532">
        <f>+entero!DM12</f>
        <v>10444.368996950001</v>
      </c>
      <c r="DN12" s="531">
        <f>+entero!DN12</f>
        <v>16.43926028000169</v>
      </c>
      <c r="DO12" s="566">
        <f>+entero!DO12</f>
        <v>0.15764644272766581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2448.6170337507288</v>
      </c>
      <c r="DF13" s="522">
        <f>+entero!DF13</f>
        <v>2471.4998133819245</v>
      </c>
      <c r="DG13" s="522">
        <f>+entero!DG13</f>
        <v>2487.8264846997081</v>
      </c>
      <c r="DH13" s="522">
        <f>+entero!DH13</f>
        <v>2457.7141042580174</v>
      </c>
      <c r="DI13" s="531">
        <f>+entero!DI13</f>
        <v>2428.7361332201162</v>
      </c>
      <c r="DJ13" s="532">
        <f>+entero!DJ13</f>
        <v>2402.5580580247815</v>
      </c>
      <c r="DK13" s="532">
        <f>+entero!DK13</f>
        <v>2395.6998752274048</v>
      </c>
      <c r="DL13" s="532">
        <f>+entero!DL13</f>
        <v>2389.2932448935862</v>
      </c>
      <c r="DM13" s="532">
        <f>+entero!DM13</f>
        <v>2405.902997895043</v>
      </c>
      <c r="DN13" s="531">
        <f>+entero!DN13</f>
        <v>-51.811106362974442</v>
      </c>
      <c r="DO13" s="566">
        <f>+entero!DO13</f>
        <v>-2.1081014375598506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22">
        <f>+entero!DG14</f>
        <v>1451.2200848</v>
      </c>
      <c r="DH14" s="522">
        <f>+entero!DH14</f>
        <v>1445.3862696699998</v>
      </c>
      <c r="DI14" s="531">
        <f>+entero!DI14</f>
        <v>1445.4778819900002</v>
      </c>
      <c r="DJ14" s="532">
        <f>+entero!DJ14</f>
        <v>1437.8512062900002</v>
      </c>
      <c r="DK14" s="532">
        <f>+entero!DK14</f>
        <v>1437.9104343000001</v>
      </c>
      <c r="DL14" s="532">
        <f>+entero!DL14</f>
        <v>1437.7932687599998</v>
      </c>
      <c r="DM14" s="532">
        <f>+entero!DM14</f>
        <v>1437.8627392400001</v>
      </c>
      <c r="DN14" s="531">
        <f>+entero!DN14</f>
        <v>-7.5235304299997097</v>
      </c>
      <c r="DO14" s="566">
        <f>+entero!DO14</f>
        <v>-0.52052040259918941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22">
        <f>+entero!DG15</f>
        <v>605.76568365335004</v>
      </c>
      <c r="DH15" s="522">
        <f>+entero!DH15</f>
        <v>605.89159290240002</v>
      </c>
      <c r="DI15" s="531">
        <f>+entero!DI15</f>
        <v>605.94402499429998</v>
      </c>
      <c r="DJ15" s="532">
        <f>+entero!DJ15</f>
        <v>588.51315810129995</v>
      </c>
      <c r="DK15" s="532">
        <f>+entero!DK15</f>
        <v>588.53808141900004</v>
      </c>
      <c r="DL15" s="532">
        <f>+entero!DL15</f>
        <v>588.56301455690004</v>
      </c>
      <c r="DM15" s="532">
        <f>+entero!DM15</f>
        <v>588.58795156969995</v>
      </c>
      <c r="DN15" s="531">
        <f>+entero!DN15</f>
        <v>-17.303641332700067</v>
      </c>
      <c r="DO15" s="566">
        <f>+entero!DO15</f>
        <v>-2.8558972488478496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22">
        <f>+entero!DG16</f>
        <v>733.77320942599999</v>
      </c>
      <c r="DH16" s="522">
        <f>+entero!DH16</f>
        <v>733.91637033625</v>
      </c>
      <c r="DI16" s="531">
        <f>+entero!DI16</f>
        <v>733.9787880857001</v>
      </c>
      <c r="DJ16" s="532">
        <f>+entero!DJ16</f>
        <v>734.03021082974999</v>
      </c>
      <c r="DK16" s="532">
        <f>+entero!DK16</f>
        <v>734.06103656699997</v>
      </c>
      <c r="DL16" s="532">
        <f>+entero!DL16</f>
        <v>734.09019755690008</v>
      </c>
      <c r="DM16" s="532">
        <f>+entero!DM16</f>
        <v>734.11930969485002</v>
      </c>
      <c r="DN16" s="531">
        <f>+entero!DN16</f>
        <v>0.20293935860001966</v>
      </c>
      <c r="DO16" s="566">
        <f>+entero!DO16</f>
        <v>2.7651564510966509E-2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14149.637211412779</v>
      </c>
      <c r="DF17" s="522">
        <f>+entero!DF17</f>
        <v>14231.840185551422</v>
      </c>
      <c r="DG17" s="522">
        <f>+entero!DG17</f>
        <v>14278.253677809058</v>
      </c>
      <c r="DH17" s="522">
        <f>+entero!DH17</f>
        <v>14225.451804166667</v>
      </c>
      <c r="DI17" s="531">
        <f>+entero!DI17</f>
        <v>14205.449279660115</v>
      </c>
      <c r="DJ17" s="532">
        <f>+entero!DJ17</f>
        <v>14220.79358399583</v>
      </c>
      <c r="DK17" s="532">
        <f>+entero!DK17</f>
        <v>14206.612080823406</v>
      </c>
      <c r="DL17" s="532">
        <f>+entero!DL17</f>
        <v>14164.137981717386</v>
      </c>
      <c r="DM17" s="532">
        <f>+entero!DM17</f>
        <v>14172.979256109593</v>
      </c>
      <c r="DN17" s="531">
        <f>+entero!DN17</f>
        <v>-52.472548057074164</v>
      </c>
      <c r="DO17" s="566">
        <f>+entero!DO17</f>
        <v>-0.3688638419322765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22">
        <f>+entero!DG18</f>
        <v>0.3</v>
      </c>
      <c r="DH18" s="522">
        <f>+entero!DH18</f>
        <v>0</v>
      </c>
      <c r="DI18" s="531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30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30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30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30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22">
        <f>+entero!DG22</f>
        <v>0</v>
      </c>
      <c r="DH22" s="522">
        <f>+entero!DH22</f>
        <v>0</v>
      </c>
      <c r="DI22" s="531">
        <f>+entero!DI22</f>
        <v>10</v>
      </c>
      <c r="DJ22" s="532">
        <f>+entero!DJ22</f>
        <v>5</v>
      </c>
      <c r="DK22" s="532">
        <f>+entero!DK22</f>
        <v>0.2</v>
      </c>
      <c r="DL22" s="532">
        <f>+entero!DL22</f>
        <v>5</v>
      </c>
      <c r="DM22" s="532">
        <f>+entero!DM22</f>
        <v>0</v>
      </c>
      <c r="DN22" s="830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48"/>
      <c r="DI23" s="848"/>
      <c r="DJ23" s="850"/>
      <c r="DK23" s="850"/>
      <c r="DL23" s="850"/>
      <c r="DM23" s="850"/>
      <c r="DN23" s="831"/>
      <c r="DO23" s="834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2"/>
      <c r="DO25" s="48">
        <f ca="1">NOW()</f>
        <v>42985.772069675928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25">
      <c r="C32" s="6">
        <v>4</v>
      </c>
      <c r="D32" s="364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25">
      <c r="A33" s="197"/>
      <c r="B33" s="197"/>
      <c r="C33" s="6"/>
      <c r="D33" s="364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E4:DE5"/>
    <mergeCell ref="DF4:DF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G4:DG5"/>
    <mergeCell ref="DH4:D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15" t="str">
        <f>+entero!DI3</f>
        <v>Semana 5°</v>
      </c>
      <c r="DJ3" s="916"/>
      <c r="DK3" s="916"/>
      <c r="DL3" s="916"/>
      <c r="DM3" s="917"/>
      <c r="DN3" s="919" t="s">
        <v>27</v>
      </c>
      <c r="DO3" s="920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0">
        <f>+entero!DI4</f>
        <v>42975</v>
      </c>
      <c r="DJ4" s="860">
        <f>+entero!DJ4</f>
        <v>42976</v>
      </c>
      <c r="DK4" s="860">
        <f>+entero!DK4</f>
        <v>42977</v>
      </c>
      <c r="DL4" s="860">
        <f>+entero!DL4</f>
        <v>42978</v>
      </c>
      <c r="DM4" s="860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89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530">
        <f>+entero!DG24</f>
        <v>59784.243874124484</v>
      </c>
      <c r="DH6" s="530">
        <f>+entero!DH24</f>
        <v>58891.75231276454</v>
      </c>
      <c r="DI6" s="815">
        <f>+entero!DI24</f>
        <v>59339.13359270597</v>
      </c>
      <c r="DJ6" s="815">
        <f>+entero!DJ24</f>
        <v>58595.178058172183</v>
      </c>
      <c r="DK6" s="815">
        <f>+entero!DK24</f>
        <v>58573.242351338587</v>
      </c>
      <c r="DL6" s="815">
        <f>+entero!DL24</f>
        <v>59464.875018305596</v>
      </c>
      <c r="DM6" s="815">
        <f>+entero!DM24</f>
        <v>60840.979659488141</v>
      </c>
      <c r="DN6" s="814">
        <f>+entero!DN24</f>
        <v>1949.2273467236009</v>
      </c>
      <c r="DO6" s="835">
        <f>+entero!DO24</f>
        <v>3.3098477633533019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89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530">
        <f>+entero!DG25</f>
        <v>41218.210395410002</v>
      </c>
      <c r="DH7" s="530">
        <f>+entero!DH25</f>
        <v>40966.954748309996</v>
      </c>
      <c r="DI7" s="815">
        <f>+entero!DI25</f>
        <v>40959.869937809999</v>
      </c>
      <c r="DJ7" s="815">
        <f>+entero!DJ25</f>
        <v>40921.763613210001</v>
      </c>
      <c r="DK7" s="815">
        <f>+entero!DK25</f>
        <v>40867.184950410003</v>
      </c>
      <c r="DL7" s="815">
        <f>+entero!DL25</f>
        <v>40841.309307910007</v>
      </c>
      <c r="DM7" s="815">
        <f>+entero!DM25</f>
        <v>40949.641623110001</v>
      </c>
      <c r="DN7" s="814">
        <f>+entero!DN25</f>
        <v>-17.313125199994829</v>
      </c>
      <c r="DO7" s="835">
        <f>+entero!DO25</f>
        <v>-4.2261196387094468E-2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89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530">
        <f>+entero!DG26</f>
        <v>-30474.883342817098</v>
      </c>
      <c r="DH8" s="530">
        <f>+entero!DH26</f>
        <v>-30568.643245326457</v>
      </c>
      <c r="DI8" s="815">
        <f>+entero!DI26</f>
        <v>-30636.511749227448</v>
      </c>
      <c r="DJ8" s="815">
        <f>+entero!DJ26</f>
        <v>-31078.684584191047</v>
      </c>
      <c r="DK8" s="815">
        <f>+entero!DK26</f>
        <v>-31082.642830740911</v>
      </c>
      <c r="DL8" s="815">
        <f>+entero!DL26</f>
        <v>-30860.724551664298</v>
      </c>
      <c r="DM8" s="815">
        <f>+entero!DM26</f>
        <v>-30698.729696106318</v>
      </c>
      <c r="DN8" s="814">
        <f>+entero!DN26</f>
        <v>-130.08645077986148</v>
      </c>
      <c r="DO8" s="835">
        <f>+entero!DO26</f>
        <v>0.42555519960720822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89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530">
        <f>+entero!DG27</f>
        <v>-12028.655449990272</v>
      </c>
      <c r="DH9" s="530">
        <f>+entero!DH27</f>
        <v>-12782.195526054535</v>
      </c>
      <c r="DI9" s="815">
        <f>+entero!DI27</f>
        <v>-12254.70482186622</v>
      </c>
      <c r="DJ9" s="815">
        <f>+entero!DJ27</f>
        <v>-13102.786651295504</v>
      </c>
      <c r="DK9" s="815">
        <f>+entero!DK27</f>
        <v>-13096.051294956731</v>
      </c>
      <c r="DL9" s="815">
        <f>+entero!DL27</f>
        <v>-12367.107188315655</v>
      </c>
      <c r="DM9" s="815">
        <f>+entero!DM27</f>
        <v>-10260.76266594807</v>
      </c>
      <c r="DN9" s="814">
        <f>+entero!DN27</f>
        <v>2521.4328601064644</v>
      </c>
      <c r="DO9" s="835">
        <f>+entero!DO27</f>
        <v>-19.726132767777749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89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530">
        <f>+entero!DG28</f>
        <v>7126.7911872231989</v>
      </c>
      <c r="DH10" s="530">
        <f>+entero!DH28</f>
        <v>7126.8448109733999</v>
      </c>
      <c r="DI10" s="815">
        <f>+entero!DI28</f>
        <v>7127.2397977946002</v>
      </c>
      <c r="DJ10" s="815">
        <f>+entero!DJ28</f>
        <v>7127.2811073896</v>
      </c>
      <c r="DK10" s="815">
        <f>+entero!DK28</f>
        <v>7127.2756491563996</v>
      </c>
      <c r="DL10" s="815">
        <f>+entero!DL28</f>
        <v>7451.6532210639998</v>
      </c>
      <c r="DM10" s="815">
        <f>+entero!DM28</f>
        <v>7282.476207213399</v>
      </c>
      <c r="DN10" s="814">
        <f>+entero!DN28</f>
        <v>155.63139623999905</v>
      </c>
      <c r="DO10" s="835">
        <f>+entero!DO28</f>
        <v>2.1837348836383885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89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817"/>
      <c r="DJ11" s="817"/>
      <c r="DK11" s="817"/>
      <c r="DL11" s="817"/>
      <c r="DM11" s="817"/>
      <c r="DN11" s="816"/>
      <c r="DO11" s="836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89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530">
        <f>+entero!DG30</f>
        <v>66236.173051804115</v>
      </c>
      <c r="DH12" s="530">
        <f>+entero!DH30</f>
        <v>66516.9823827941</v>
      </c>
      <c r="DI12" s="815">
        <f>+entero!DI30</f>
        <v>66533.643010314117</v>
      </c>
      <c r="DJ12" s="815">
        <f>+entero!DJ30</f>
        <v>66589.523791144107</v>
      </c>
      <c r="DK12" s="815">
        <f>+entero!DK30</f>
        <v>66589.879504024095</v>
      </c>
      <c r="DL12" s="815">
        <f>+entero!DL30</f>
        <v>66880.152161504113</v>
      </c>
      <c r="DM12" s="815">
        <f>+entero!DM30</f>
        <v>67859.590582994104</v>
      </c>
      <c r="DN12" s="814">
        <f>+entero!DN30</f>
        <v>1342.6082002000039</v>
      </c>
      <c r="DO12" s="835">
        <f>+entero!DO30</f>
        <v>2.0184442410112968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89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530">
        <f>+entero!DG31</f>
        <v>115474.03036391539</v>
      </c>
      <c r="DH13" s="530">
        <f>+entero!DH31</f>
        <v>115305.65675868536</v>
      </c>
      <c r="DI13" s="815">
        <f>+entero!DI31</f>
        <v>115197.06471525537</v>
      </c>
      <c r="DJ13" s="815">
        <f>+entero!DJ31</f>
        <v>115374.90948692539</v>
      </c>
      <c r="DK13" s="815">
        <f>+entero!DK31</f>
        <v>115769.79075452535</v>
      </c>
      <c r="DL13" s="815">
        <f>+entero!DL31</f>
        <v>116485.04609415538</v>
      </c>
      <c r="DM13" s="815">
        <f>+entero!DM31</f>
        <v>118033.74281454537</v>
      </c>
      <c r="DN13" s="814">
        <f>+entero!DN31</f>
        <v>2728.0860558600107</v>
      </c>
      <c r="DO13" s="835">
        <f>+entero!DO31</f>
        <v>2.365960294185232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89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530">
        <f>+entero!DG32</f>
        <v>192873.89730471294</v>
      </c>
      <c r="DH14" s="530">
        <f>+entero!DH32</f>
        <v>192883.07492700295</v>
      </c>
      <c r="DI14" s="815">
        <f>+entero!DI32</f>
        <v>192773.65502802294</v>
      </c>
      <c r="DJ14" s="815">
        <f>+entero!DJ32</f>
        <v>193071.87699018294</v>
      </c>
      <c r="DK14" s="815">
        <f>+entero!DK32</f>
        <v>193468.39433380292</v>
      </c>
      <c r="DL14" s="815">
        <f>+entero!DL32</f>
        <v>194414.84970891295</v>
      </c>
      <c r="DM14" s="815">
        <f>+entero!DM32</f>
        <v>195846.05374081293</v>
      </c>
      <c r="DN14" s="814">
        <f>+entero!DN32</f>
        <v>2962.978813809983</v>
      </c>
      <c r="DO14" s="835">
        <f>+entero!DO32</f>
        <v>1.5361528298588834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89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819"/>
      <c r="DJ15" s="819"/>
      <c r="DK15" s="819"/>
      <c r="DL15" s="819"/>
      <c r="DM15" s="819"/>
      <c r="DN15" s="818"/>
      <c r="DO15" s="820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89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534">
        <f>+entero!DG34</f>
        <v>89.186489239831985</v>
      </c>
      <c r="DH16" s="534">
        <f>+entero!DH34</f>
        <v>89.388502446983892</v>
      </c>
      <c r="DI16" s="822">
        <f>+entero!DI34</f>
        <v>89.380468886086646</v>
      </c>
      <c r="DJ16" s="822">
        <f>+entero!DJ34</f>
        <v>89.356122109611832</v>
      </c>
      <c r="DK16" s="822">
        <f>+entero!DK34</f>
        <v>89.346091066478621</v>
      </c>
      <c r="DL16" s="822">
        <f>+entero!DL34</f>
        <v>89.361437103703594</v>
      </c>
      <c r="DM16" s="822">
        <f>+entero!DM34</f>
        <v>89.175994981185369</v>
      </c>
      <c r="DN16" s="821">
        <f>+entero!DN34</f>
        <v>-0.21250746579852375</v>
      </c>
      <c r="DO16" s="823">
        <f>+entero!DO34</f>
        <v>-0.23773467502105072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89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534">
        <f>+entero!DG35</f>
        <v>83.765811353284363</v>
      </c>
      <c r="DH17" s="534">
        <f>+entero!DH35</f>
        <v>83.852172168343145</v>
      </c>
      <c r="DI17" s="822">
        <f>+entero!DI35</f>
        <v>83.861917580837613</v>
      </c>
      <c r="DJ17" s="822">
        <f>+entero!DJ35</f>
        <v>83.878374586147274</v>
      </c>
      <c r="DK17" s="822">
        <f>+entero!DK35</f>
        <v>83.902672890867905</v>
      </c>
      <c r="DL17" s="822">
        <f>+entero!DL35</f>
        <v>83.954506415067215</v>
      </c>
      <c r="DM17" s="822">
        <f>+entero!DM35</f>
        <v>83.991956647522926</v>
      </c>
      <c r="DN17" s="821">
        <f>+entero!DN35</f>
        <v>0.13978447917978087</v>
      </c>
      <c r="DO17" s="823">
        <f>+entero!DO35</f>
        <v>0.16670346821683335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89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536">
        <f>+entero!DG36</f>
        <v>87.722456023087076</v>
      </c>
      <c r="DH18" s="536">
        <f>+entero!DH36</f>
        <v>87.810246617231599</v>
      </c>
      <c r="DI18" s="851">
        <f>+entero!DI36</f>
        <v>87.821787855524491</v>
      </c>
      <c r="DJ18" s="851">
        <f>+entero!DJ36</f>
        <v>87.815107480263293</v>
      </c>
      <c r="DK18" s="851">
        <f>+entero!DK36</f>
        <v>87.809384228227273</v>
      </c>
      <c r="DL18" s="851">
        <f>+entero!DL36</f>
        <v>87.839525500860887</v>
      </c>
      <c r="DM18" s="851">
        <f>+entero!DM36</f>
        <v>87.865015946696417</v>
      </c>
      <c r="DN18" s="824">
        <f>+entero!DN36</f>
        <v>5.4769329464818384E-2</v>
      </c>
      <c r="DO18" s="825">
        <f>+entero!DO36</f>
        <v>6.237236720625372E-2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E3:DE4"/>
    <mergeCell ref="DF3:DF4"/>
    <mergeCell ref="DI3:DM3"/>
    <mergeCell ref="DC3:DC4"/>
    <mergeCell ref="CT3:CT4"/>
    <mergeCell ref="CU3:CU4"/>
    <mergeCell ref="DH3:DH4"/>
    <mergeCell ref="CX3:CX4"/>
    <mergeCell ref="DB3:DB4"/>
    <mergeCell ref="CY3:CY4"/>
    <mergeCell ref="DG3:DG4"/>
    <mergeCell ref="CV3:CV4"/>
    <mergeCell ref="CW3:CW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4" width="8.85546875" customWidth="1"/>
    <col min="115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9" t="s">
        <v>27</v>
      </c>
      <c r="DO3" s="920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7">
        <f>+entero!DG38</f>
        <v>2463.9512013163258</v>
      </c>
      <c r="DH6" s="537">
        <f>+entero!DH38</f>
        <v>2445.2771138527692</v>
      </c>
      <c r="DI6" s="539">
        <f>+entero!DI38</f>
        <v>2445.2771138527692</v>
      </c>
      <c r="DJ6" s="539">
        <f>+entero!DJ38</f>
        <v>2445.2771138527692</v>
      </c>
      <c r="DK6" s="539">
        <f>+entero!DK38</f>
        <v>2445.2771138527692</v>
      </c>
      <c r="DL6" s="539">
        <f>+entero!DL38</f>
        <v>2445.2771138527692</v>
      </c>
      <c r="DM6" s="539">
        <f>+entero!DM38</f>
        <v>2483.5161138527692</v>
      </c>
      <c r="DN6" s="538">
        <f>+entero!DN38</f>
        <v>38.239000000000033</v>
      </c>
      <c r="DO6" s="565">
        <f>+entero!DO38</f>
        <v>1.5637900417654782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22">
        <f>+entero!DG39</f>
        <v>1867.3762740524783</v>
      </c>
      <c r="DH7" s="522">
        <f>+entero!DH39</f>
        <v>1865.288921282799</v>
      </c>
      <c r="DI7" s="532">
        <f>+entero!DI39</f>
        <v>1865.288921282799</v>
      </c>
      <c r="DJ7" s="532">
        <f>+entero!DJ39</f>
        <v>1865.288921282799</v>
      </c>
      <c r="DK7" s="532">
        <f>+entero!DK39</f>
        <v>1865.288921282799</v>
      </c>
      <c r="DL7" s="532">
        <f>+entero!DL39</f>
        <v>1865.288921282799</v>
      </c>
      <c r="DM7" s="532">
        <f>+entero!DM39</f>
        <v>1866.1165510204085</v>
      </c>
      <c r="DN7" s="531">
        <f>+entero!DN39</f>
        <v>0.8276297376094135</v>
      </c>
      <c r="DO7" s="566">
        <f>+entero!DO39</f>
        <v>4.4370055928943941E-2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22">
        <f>+entero!DG40</f>
        <v>12810.201240000002</v>
      </c>
      <c r="DH8" s="522">
        <f>+entero!DH40</f>
        <v>12795.882000000001</v>
      </c>
      <c r="DI8" s="532">
        <f>+entero!DI40</f>
        <v>12795.882000000001</v>
      </c>
      <c r="DJ8" s="532">
        <f>+entero!DJ40</f>
        <v>12795.882000000001</v>
      </c>
      <c r="DK8" s="532">
        <f>+entero!DK40</f>
        <v>12795.882000000001</v>
      </c>
      <c r="DL8" s="532">
        <f>+entero!DL40</f>
        <v>12795.882000000001</v>
      </c>
      <c r="DM8" s="532">
        <f>+entero!DM40</f>
        <v>12801.559540000002</v>
      </c>
      <c r="DN8" s="531">
        <f>+entero!DN40</f>
        <v>5.6775400000005902</v>
      </c>
      <c r="DO8" s="566">
        <f>+entero!DO40</f>
        <v>4.4370055928943941E-2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22">
        <f>+entero!DG42</f>
        <v>596.5749272638476</v>
      </c>
      <c r="DH10" s="522">
        <f>+entero!DH42</f>
        <v>579.98819256997001</v>
      </c>
      <c r="DI10" s="532">
        <f>+entero!DI42</f>
        <v>579.98819256997001</v>
      </c>
      <c r="DJ10" s="532">
        <f>+entero!DJ42</f>
        <v>579.98819256997001</v>
      </c>
      <c r="DK10" s="532">
        <f>+entero!DK42</f>
        <v>579.98819256997001</v>
      </c>
      <c r="DL10" s="532">
        <f>+entero!DL42</f>
        <v>579.98819256997001</v>
      </c>
      <c r="DM10" s="532">
        <f>+entero!DM42</f>
        <v>617.39956283236063</v>
      </c>
      <c r="DN10" s="531">
        <f>+entero!DN42</f>
        <v>37.411370262390619</v>
      </c>
      <c r="DO10" s="566">
        <f>+entero!DO42</f>
        <v>6.4503675663840854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22">
        <f>+entero!DG43</f>
        <v>4092.5040010299945</v>
      </c>
      <c r="DH11" s="522">
        <f>+entero!DH43</f>
        <v>3978.7190010299946</v>
      </c>
      <c r="DI11" s="532">
        <f>+entero!DI43</f>
        <v>3978.7190010299946</v>
      </c>
      <c r="DJ11" s="532">
        <f>+entero!DJ43</f>
        <v>3978.7190010299946</v>
      </c>
      <c r="DK11" s="532">
        <f>+entero!DK43</f>
        <v>3978.7190010299946</v>
      </c>
      <c r="DL11" s="532">
        <f>+entero!DL43</f>
        <v>3978.7190010299946</v>
      </c>
      <c r="DM11" s="532">
        <f>+entero!DM43</f>
        <v>4235.3610010299944</v>
      </c>
      <c r="DN11" s="531">
        <f>+entero!DN43</f>
        <v>256.64199999999983</v>
      </c>
      <c r="DO11" s="566">
        <f>+entero!DO43</f>
        <v>6.4503675663840854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56">
        <f>+entero!DG46</f>
        <v>0.14577259475218657</v>
      </c>
      <c r="DH13" s="56">
        <f>+entero!DH46</f>
        <v>0.14577259475218657</v>
      </c>
      <c r="DI13" s="9">
        <f>+entero!DI46</f>
        <v>0.18950437317784255</v>
      </c>
      <c r="DJ13" s="9">
        <f>+entero!DJ46</f>
        <v>0.18950437317784255</v>
      </c>
      <c r="DK13" s="9">
        <f>+entero!DK46</f>
        <v>0.18950437317784255</v>
      </c>
      <c r="DL13" s="9">
        <f>+entero!DL46</f>
        <v>47.481129737609329</v>
      </c>
      <c r="DM13" s="9">
        <f>+entero!DM46</f>
        <v>22.819322157434403</v>
      </c>
      <c r="DN13" s="12">
        <f>+entero!DN46</f>
        <v>22.673549562682215</v>
      </c>
      <c r="DO13" s="566">
        <f>+entero!DO46</f>
        <v>15554.055000000002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56">
        <f>+entero!DG47</f>
        <v>0.14577259475218657</v>
      </c>
      <c r="DH14" s="56">
        <f>+entero!DH47</f>
        <v>0.14577259475218657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0.18950437317784255</v>
      </c>
      <c r="DL14" s="9">
        <f>+entero!DL47</f>
        <v>24.85131195335277</v>
      </c>
      <c r="DM14" s="9">
        <f>+entero!DM47</f>
        <v>0.18950437317784255</v>
      </c>
      <c r="DN14" s="12">
        <f>+entero!DN47</f>
        <v>4.3731778425655982E-2</v>
      </c>
      <c r="DO14" s="566">
        <f>+entero!DO47</f>
        <v>30.000000000000004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56">
        <f>+entero!DG48</f>
        <v>1</v>
      </c>
      <c r="DH15" s="56">
        <f>+entero!DH48</f>
        <v>1</v>
      </c>
      <c r="DI15" s="9">
        <f>+entero!DI48</f>
        <v>1.3</v>
      </c>
      <c r="DJ15" s="9">
        <f>+entero!DJ48</f>
        <v>1.3</v>
      </c>
      <c r="DK15" s="9">
        <f>+entero!DK48</f>
        <v>1.3</v>
      </c>
      <c r="DL15" s="9">
        <f>+entero!DL48</f>
        <v>81.3</v>
      </c>
      <c r="DM15" s="9">
        <f>+entero!DM48</f>
        <v>1.3</v>
      </c>
      <c r="DN15" s="12">
        <f>+entero!DN48</f>
        <v>0.30000000000000004</v>
      </c>
      <c r="DO15" s="566">
        <f>+entero!DO48</f>
        <v>30.000000000000004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13</v>
      </c>
      <c r="DM16" s="9">
        <f>+entero!DM49</f>
        <v>0</v>
      </c>
      <c r="DN16" s="12">
        <f>+entero!DN49</f>
        <v>0</v>
      </c>
      <c r="DO16" s="601" t="e">
        <f>+entero!DO49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56">
        <f>+entero!DG50</f>
        <v>0</v>
      </c>
      <c r="DH17" s="56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22.629817784256559</v>
      </c>
      <c r="DM17" s="9">
        <f>+entero!DM50</f>
        <v>22.629817784256559</v>
      </c>
      <c r="DN17" s="12">
        <f>+entero!DN50</f>
        <v>22.629817784256559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56">
        <f>+entero!DG51</f>
        <v>0</v>
      </c>
      <c r="DH18" s="56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155.24055000000001</v>
      </c>
      <c r="DM18" s="9">
        <f>+entero!DM51</f>
        <v>155.24055000000001</v>
      </c>
      <c r="DN18" s="12">
        <f>+entero!DN51</f>
        <v>155.24055000000001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I3:DM3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4" width="10.140625" customWidth="1"/>
    <col min="115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9" t="s">
        <v>27</v>
      </c>
      <c r="DO3" s="920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430">
        <f>+entero!DG54</f>
        <v>24177.033589955241</v>
      </c>
      <c r="DH6" s="430">
        <f>+entero!DH54</f>
        <v>24199.819326439196</v>
      </c>
      <c r="DI6" s="541">
        <f>+entero!DI54</f>
        <v>24176.584574026663</v>
      </c>
      <c r="DJ6" s="541">
        <f>+entero!DJ54</f>
        <v>24232.393483666609</v>
      </c>
      <c r="DK6" s="541">
        <f>+entero!DK54</f>
        <v>24299.146381784678</v>
      </c>
      <c r="DL6" s="541">
        <f>+entero!DL54</f>
        <v>24443.616398477105</v>
      </c>
      <c r="DM6" s="541">
        <f>+entero!DM54</f>
        <v>24616.213387775933</v>
      </c>
      <c r="DN6" s="540">
        <f>+entero!DN54</f>
        <v>416.39406133673765</v>
      </c>
      <c r="DO6" s="837">
        <f>+entero!DO54</f>
        <v>1.7206494632040936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85.098838913863929</v>
      </c>
      <c r="DF7" s="569">
        <f>+entero!DF55</f>
        <v>84.978584134017225</v>
      </c>
      <c r="DG7" s="569">
        <f>+entero!DG55</f>
        <v>84.990445628676326</v>
      </c>
      <c r="DH7" s="569">
        <f>+entero!DH55</f>
        <v>85.175036314154923</v>
      </c>
      <c r="DI7" s="571">
        <f>+entero!DI55</f>
        <v>85.175110499338146</v>
      </c>
      <c r="DJ7" s="571">
        <f>+entero!DJ55</f>
        <v>85.194916583811136</v>
      </c>
      <c r="DK7" s="571">
        <f>+entero!DK55</f>
        <v>85.201927059296736</v>
      </c>
      <c r="DL7" s="571">
        <f>+entero!DL55</f>
        <v>85.286912155314397</v>
      </c>
      <c r="DM7" s="571">
        <f>+entero!DM55</f>
        <v>85.263969739193072</v>
      </c>
      <c r="DN7" s="570">
        <f>+entero!DN55</f>
        <v>8.8933425038149494E-2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430">
        <f>+entero!DG56</f>
        <v>23017.036621203053</v>
      </c>
      <c r="DH8" s="430">
        <f>+entero!DH56</f>
        <v>23048.87343431238</v>
      </c>
      <c r="DI8" s="541">
        <f>+entero!DI56</f>
        <v>23022.85101336486</v>
      </c>
      <c r="DJ8" s="541">
        <f>+entero!DJ56</f>
        <v>23077.489106379438</v>
      </c>
      <c r="DK8" s="541">
        <f>+entero!DK56</f>
        <v>23143.339846764276</v>
      </c>
      <c r="DL8" s="541">
        <f>+entero!DL56</f>
        <v>23287.064702808013</v>
      </c>
      <c r="DM8" s="541">
        <f>+entero!DM56</f>
        <v>23471.493200048535</v>
      </c>
      <c r="DN8" s="540">
        <f>+entero!DN56</f>
        <v>422.61976573615539</v>
      </c>
      <c r="DO8" s="837">
        <f>+entero!DO56</f>
        <v>1.8335810075082115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69">
        <f>+entero!DG57</f>
        <v>84.489697346095696</v>
      </c>
      <c r="DH9" s="569">
        <f>+entero!DH57</f>
        <v>84.682545272225369</v>
      </c>
      <c r="DI9" s="571">
        <f>+entero!DI57</f>
        <v>84.683901765627297</v>
      </c>
      <c r="DJ9" s="571">
        <f>+entero!DJ57</f>
        <v>84.699016013027006</v>
      </c>
      <c r="DK9" s="571">
        <f>+entero!DK57</f>
        <v>84.703108811402302</v>
      </c>
      <c r="DL9" s="571">
        <f>+entero!DL57</f>
        <v>84.790732196406907</v>
      </c>
      <c r="DM9" s="571">
        <f>+entero!DM57</f>
        <v>84.817731481146694</v>
      </c>
      <c r="DN9" s="570">
        <f>+entero!DN57</f>
        <v>0.1351862089213256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430">
        <f>+entero!DG59</f>
        <v>4556.7269633446231</v>
      </c>
      <c r="DH11" s="430">
        <f>+entero!DH59</f>
        <v>4628.1602354481211</v>
      </c>
      <c r="DI11" s="541">
        <f>+entero!DI59</f>
        <v>4620.5168999962261</v>
      </c>
      <c r="DJ11" s="541">
        <f>+entero!DJ59</f>
        <v>4639.8282901930197</v>
      </c>
      <c r="DK11" s="541">
        <f>+entero!DK59</f>
        <v>4647.9295217236304</v>
      </c>
      <c r="DL11" s="541">
        <f>+entero!DL59</f>
        <v>4696.0009203868958</v>
      </c>
      <c r="DM11" s="541">
        <f>+entero!DM59</f>
        <v>4814.5743723781497</v>
      </c>
      <c r="DN11" s="540">
        <f>+entero!DN59</f>
        <v>186.41413693002869</v>
      </c>
      <c r="DO11" s="837">
        <f>+entero!DO59</f>
        <v>4.0278237452161081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69">
        <f>+entero!DG60</f>
        <v>77.086848507773126</v>
      </c>
      <c r="DH12" s="569">
        <f>+entero!DH60</f>
        <v>77.768093121233008</v>
      </c>
      <c r="DI12" s="571">
        <f>+entero!DI60</f>
        <v>77.708876061226391</v>
      </c>
      <c r="DJ12" s="571">
        <f>+entero!DJ60</f>
        <v>77.732074053297424</v>
      </c>
      <c r="DK12" s="571">
        <f>+entero!DK60</f>
        <v>77.749818421869321</v>
      </c>
      <c r="DL12" s="571">
        <f>+entero!DL60</f>
        <v>77.913447651224587</v>
      </c>
      <c r="DM12" s="571">
        <f>+entero!DM60</f>
        <v>77.760900160433181</v>
      </c>
      <c r="DN12" s="570">
        <f>+entero!DN60</f>
        <v>-7.1929607998271194E-3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430">
        <f>+entero!DG62</f>
        <v>7177.5302204243835</v>
      </c>
      <c r="DH14" s="430">
        <f>+entero!DH62</f>
        <v>7112.0516582931878</v>
      </c>
      <c r="DI14" s="541">
        <f>+entero!DI62</f>
        <v>7093.793251449164</v>
      </c>
      <c r="DJ14" s="541">
        <f>+entero!DJ62</f>
        <v>7111.5722588602439</v>
      </c>
      <c r="DK14" s="541">
        <f>+entero!DK62</f>
        <v>7169.0832726678218</v>
      </c>
      <c r="DL14" s="541">
        <f>+entero!DL62</f>
        <v>7231.034100969574</v>
      </c>
      <c r="DM14" s="541">
        <f>+entero!DM62</f>
        <v>7314.0163602844432</v>
      </c>
      <c r="DN14" s="540">
        <f>+entero!DN62</f>
        <v>201.96470199125542</v>
      </c>
      <c r="DO14" s="837">
        <f>+entero!DO62</f>
        <v>2.8397530233874146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69">
        <f>+entero!DG63</f>
        <v>76.473760517775304</v>
      </c>
      <c r="DH15" s="569">
        <f>+entero!DH63</f>
        <v>76.304109255782208</v>
      </c>
      <c r="DI15" s="571">
        <f>+entero!DI63</f>
        <v>76.316839376025357</v>
      </c>
      <c r="DJ15" s="571">
        <f>+entero!DJ63</f>
        <v>76.401533031378818</v>
      </c>
      <c r="DK15" s="571">
        <f>+entero!DK63</f>
        <v>76.532253726066372</v>
      </c>
      <c r="DL15" s="571">
        <f>+entero!DL63</f>
        <v>76.664573537200795</v>
      </c>
      <c r="DM15" s="571">
        <f>+entero!DM63</f>
        <v>76.98064298814306</v>
      </c>
      <c r="DN15" s="570">
        <f>+entero!DN63</f>
        <v>0.67653373236085201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430">
        <f>+entero!DG65</f>
        <v>10417.224621357138</v>
      </c>
      <c r="DH17" s="430">
        <f>+entero!DH65</f>
        <v>10446.342549772589</v>
      </c>
      <c r="DI17" s="541">
        <f>+entero!DI65</f>
        <v>10446.739020460636</v>
      </c>
      <c r="DJ17" s="541">
        <f>+entero!DJ65</f>
        <v>10464.094490966467</v>
      </c>
      <c r="DK17" s="541">
        <f>+entero!DK65</f>
        <v>10465.850853284253</v>
      </c>
      <c r="DL17" s="541">
        <f>+entero!DL65</f>
        <v>10498.031802319239</v>
      </c>
      <c r="DM17" s="541">
        <f>+entero!DM65</f>
        <v>10495.218350951889</v>
      </c>
      <c r="DN17" s="540">
        <f>+entero!DN65</f>
        <v>48.875801179299742</v>
      </c>
      <c r="DO17" s="837">
        <f>+entero!DO65</f>
        <v>0.46787477001091204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69">
        <f>+entero!DG66</f>
        <v>94.801852584855865</v>
      </c>
      <c r="DH18" s="569">
        <f>+entero!DH66</f>
        <v>94.849389516255613</v>
      </c>
      <c r="DI18" s="571">
        <f>+entero!DI66</f>
        <v>94.856006923468073</v>
      </c>
      <c r="DJ18" s="571">
        <f>+entero!DJ66</f>
        <v>94.81411789328547</v>
      </c>
      <c r="DK18" s="571">
        <f>+entero!DK66</f>
        <v>94.786827853030189</v>
      </c>
      <c r="DL18" s="571">
        <f>+entero!DL66</f>
        <v>94.803647691904402</v>
      </c>
      <c r="DM18" s="571">
        <f>+entero!DM66</f>
        <v>94.804692484903185</v>
      </c>
      <c r="DN18" s="570">
        <f>+entero!DN66</f>
        <v>-4.469703135242753E-2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430">
        <f>+entero!DG68</f>
        <v>865.55481607690774</v>
      </c>
      <c r="DH20" s="430">
        <f>+entero!DH68</f>
        <v>862.31899079848222</v>
      </c>
      <c r="DI20" s="541">
        <f>+entero!DI68</f>
        <v>861.80184145883186</v>
      </c>
      <c r="DJ20" s="541">
        <f>+entero!DJ68</f>
        <v>861.99406635970638</v>
      </c>
      <c r="DK20" s="541">
        <f>+entero!DK68</f>
        <v>860.4761990885695</v>
      </c>
      <c r="DL20" s="541">
        <f>+entero!DL68</f>
        <v>861.99787913230125</v>
      </c>
      <c r="DM20" s="541">
        <f>+entero!DM68</f>
        <v>847.68411643405022</v>
      </c>
      <c r="DN20" s="540">
        <f>+entero!DN68</f>
        <v>-14.634874364431994</v>
      </c>
      <c r="DO20" s="837">
        <f>+entero!DO68</f>
        <v>-1.6971532020743862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69">
        <f>+entero!DG69</f>
        <v>79.466865541900262</v>
      </c>
      <c r="DH21" s="569">
        <f>+entero!DH69</f>
        <v>79.687521051656134</v>
      </c>
      <c r="DI21" s="571">
        <f>+entero!DI69</f>
        <v>79.712925960403965</v>
      </c>
      <c r="DJ21" s="571">
        <f>+entero!DJ69</f>
        <v>79.66149634283407</v>
      </c>
      <c r="DK21" s="571">
        <f>+entero!DK69</f>
        <v>79.563974905336849</v>
      </c>
      <c r="DL21" s="571">
        <f>+entero!DL69</f>
        <v>79.555653459013953</v>
      </c>
      <c r="DM21" s="571">
        <f>+entero!DM69</f>
        <v>80.55895336638676</v>
      </c>
      <c r="DN21" s="570">
        <f>+entero!DN69</f>
        <v>0.87143231473062599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430">
        <f>+entero!DG71</f>
        <v>4395.0342852708327</v>
      </c>
      <c r="DH23" s="430">
        <f>+entero!DH71</f>
        <v>4290.5261199888309</v>
      </c>
      <c r="DI23" s="541">
        <f>+entero!DI71</f>
        <v>4356.4470771042888</v>
      </c>
      <c r="DJ23" s="541">
        <f>+entero!DJ71</f>
        <v>4254.573520662605</v>
      </c>
      <c r="DK23" s="541">
        <f>+entero!DK71</f>
        <v>4259.0807922351532</v>
      </c>
      <c r="DL23" s="541">
        <f>+entero!DL71</f>
        <v>4392.2217545082403</v>
      </c>
      <c r="DM23" s="541">
        <f>+entero!DM71</f>
        <v>4582.634178621267</v>
      </c>
      <c r="DN23" s="540">
        <f>+entero!DN71</f>
        <v>292.10805863243604</v>
      </c>
      <c r="DO23" s="837">
        <f>+entero!DO71</f>
        <v>6.8082107057116925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430">
        <f>+entero!DG72</f>
        <v>1777.693221233236</v>
      </c>
      <c r="DH24" s="430">
        <f>+entero!DH72</f>
        <v>1636.6913223002914</v>
      </c>
      <c r="DI24" s="541">
        <f>+entero!DI72</f>
        <v>1607.0030358476677</v>
      </c>
      <c r="DJ24" s="541">
        <f>+entero!DJ72</f>
        <v>1591.6958116537903</v>
      </c>
      <c r="DK24" s="541">
        <f>+entero!DK72</f>
        <v>1586.5938800218657</v>
      </c>
      <c r="DL24" s="541">
        <f>+entero!DL72</f>
        <v>1687.4815614795921</v>
      </c>
      <c r="DM24" s="541">
        <f>+entero!DM72</f>
        <v>1908.3136565714285</v>
      </c>
      <c r="DN24" s="540">
        <f>+entero!DN72</f>
        <v>271.62233427113711</v>
      </c>
      <c r="DO24" s="837">
        <f>+entero!DO72</f>
        <v>16.595819295319835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430">
        <f>+entero!DG73</f>
        <v>504.37678790147959</v>
      </c>
      <c r="DH25" s="430">
        <f>+entero!DH73</f>
        <v>499.92796641518066</v>
      </c>
      <c r="DI25" s="541">
        <f>+entero!DI73</f>
        <v>499.94120105479595</v>
      </c>
      <c r="DJ25" s="541">
        <f>+entero!DJ73</f>
        <v>503.22691614221986</v>
      </c>
      <c r="DK25" s="541">
        <f>+entero!DK73</f>
        <v>503.23200666775938</v>
      </c>
      <c r="DL25" s="541">
        <f>+entero!DL73</f>
        <v>503.21542142666607</v>
      </c>
      <c r="DM25" s="541">
        <f>+entero!DM73</f>
        <v>503.21956061535417</v>
      </c>
      <c r="DN25" s="540">
        <f>+entero!DN73</f>
        <v>3.2915942001735061</v>
      </c>
      <c r="DO25" s="837">
        <f>+entero!DO73</f>
        <v>0.65841369583230502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430">
        <f>+entero!DG74</f>
        <v>661.7441913361165</v>
      </c>
      <c r="DH26" s="430">
        <f>+entero!DH74</f>
        <v>708.5205616033586</v>
      </c>
      <c r="DI26" s="541">
        <f>+entero!DI74</f>
        <v>804.02495821182504</v>
      </c>
      <c r="DJ26" s="541">
        <f>+entero!DJ74</f>
        <v>721.79958657659495</v>
      </c>
      <c r="DK26" s="541">
        <f>+entero!DK74</f>
        <v>731.34447124552798</v>
      </c>
      <c r="DL26" s="541">
        <f>+entero!DL74</f>
        <v>763.73150284198266</v>
      </c>
      <c r="DM26" s="541">
        <f>+entero!DM74</f>
        <v>733.23822219448391</v>
      </c>
      <c r="DN26" s="540">
        <f>+entero!DN74</f>
        <v>24.717660591125309</v>
      </c>
      <c r="DO26" s="837">
        <f>+entero!DO74</f>
        <v>3.4886299608849924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430">
        <f>+entero!DG75</f>
        <v>1451.2200848</v>
      </c>
      <c r="DH27" s="430">
        <f>+entero!DH75</f>
        <v>1445.3862696699998</v>
      </c>
      <c r="DI27" s="541">
        <f>+entero!DI75</f>
        <v>1445.4778819900002</v>
      </c>
      <c r="DJ27" s="541">
        <f>+entero!DJ75</f>
        <v>1437.8512062900002</v>
      </c>
      <c r="DK27" s="541">
        <f>+entero!DK75</f>
        <v>1437.9104343000001</v>
      </c>
      <c r="DL27" s="541">
        <f>+entero!DL75</f>
        <v>1437.7932687599998</v>
      </c>
      <c r="DM27" s="541">
        <f>+entero!DM75</f>
        <v>1437.8627392400001</v>
      </c>
      <c r="DN27" s="540">
        <f>+entero!DN75</f>
        <v>-7.5235304299997097</v>
      </c>
      <c r="DO27" s="837">
        <f>+entero!DO75</f>
        <v>-0.52052040259918941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430">
        <f>+entero!DG76</f>
        <v>1096.9644932681178</v>
      </c>
      <c r="DH28" s="430">
        <f>+entero!DH76</f>
        <v>1010.9454970730092</v>
      </c>
      <c r="DI28" s="541">
        <f>+entero!DI76</f>
        <v>1073.4901152945924</v>
      </c>
      <c r="DJ28" s="541">
        <f>+entero!DJ76</f>
        <v>971.09218891185208</v>
      </c>
      <c r="DK28" s="541">
        <f>+entero!DK76</f>
        <v>976.5222252110367</v>
      </c>
      <c r="DL28" s="541">
        <f>+entero!DL76</f>
        <v>1107.1540092747803</v>
      </c>
      <c r="DM28" s="541">
        <f>+entero!DM76</f>
        <v>1296.4480848181386</v>
      </c>
      <c r="DN28" s="540">
        <f>+entero!DN76</f>
        <v>285.5025877451294</v>
      </c>
      <c r="DO28" s="837">
        <f>+entero!DO76</f>
        <v>28.241145400196665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430">
        <f>+entero!DG77</f>
        <v>934.91317597200111</v>
      </c>
      <c r="DH29" s="430">
        <f>+entero!DH77</f>
        <v>800.23190812965061</v>
      </c>
      <c r="DI29" s="541">
        <f>+entero!DI77</f>
        <v>765.84158262276719</v>
      </c>
      <c r="DJ29" s="541">
        <f>+entero!DJ77</f>
        <v>745.41809403525713</v>
      </c>
      <c r="DK29" s="541">
        <f>+entero!DK77</f>
        <v>741.31112054550874</v>
      </c>
      <c r="DL29" s="541">
        <f>+entero!DL77</f>
        <v>839.5737541827973</v>
      </c>
      <c r="DM29" s="541">
        <f>+entero!DM77</f>
        <v>1059.4289427636547</v>
      </c>
      <c r="DN29" s="540">
        <f>+entero!DN77</f>
        <v>259.19703463400413</v>
      </c>
      <c r="DO29" s="837">
        <f>+entero!DO77</f>
        <v>32.390239879313839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430">
        <f>+entero!DG78</f>
        <v>162.05131729611654</v>
      </c>
      <c r="DH30" s="430">
        <f>+entero!DH78</f>
        <v>210.71358894335862</v>
      </c>
      <c r="DI30" s="541">
        <f>+entero!DI78</f>
        <v>307.64853267182519</v>
      </c>
      <c r="DJ30" s="541">
        <f>+entero!DJ78</f>
        <v>225.67409487659495</v>
      </c>
      <c r="DK30" s="541">
        <f>+entero!DK78</f>
        <v>235.21110466552804</v>
      </c>
      <c r="DL30" s="541">
        <f>+entero!DL78</f>
        <v>267.58025509198274</v>
      </c>
      <c r="DM30" s="541">
        <f>+entero!DM78</f>
        <v>237.01914205448395</v>
      </c>
      <c r="DN30" s="540">
        <f>+entero!DN78</f>
        <v>26.305553111125334</v>
      </c>
      <c r="DO30" s="837">
        <f>+entero!DO78</f>
        <v>12.484032588043693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7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430">
        <f>+entero!DG80</f>
        <v>21121.975302263709</v>
      </c>
      <c r="DH32" s="430">
        <f>+entero!DH80</f>
        <v>21271.476450719976</v>
      </c>
      <c r="DI32" s="541">
        <f>+entero!DI80</f>
        <v>21302.421631168956</v>
      </c>
      <c r="DJ32" s="541">
        <f>+entero!DJ80</f>
        <v>21349.033706499868</v>
      </c>
      <c r="DK32" s="541">
        <f>+entero!DK80</f>
        <v>21407.433135199575</v>
      </c>
      <c r="DL32" s="541">
        <f>+entero!DL80</f>
        <v>21501.403237527564</v>
      </c>
      <c r="DM32" s="541">
        <f>+entero!DM80</f>
        <v>21482.364651020274</v>
      </c>
      <c r="DN32" s="540">
        <f>+entero!DN80</f>
        <v>210.88820030029819</v>
      </c>
      <c r="DO32" s="837">
        <f>+entero!DO80</f>
        <v>0.99141308215660029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18">
        <f>+entero!DG82</f>
        <v>97.409225999168768</v>
      </c>
      <c r="DH34" s="518">
        <f>+entero!DH82</f>
        <v>97.434668601339339</v>
      </c>
      <c r="DI34" s="520">
        <f>+entero!DI82</f>
        <v>97.439480798653946</v>
      </c>
      <c r="DJ34" s="520">
        <f>+entero!DJ82</f>
        <v>97.447760106466475</v>
      </c>
      <c r="DK34" s="520">
        <f>+entero!DK82</f>
        <v>97.454338543520223</v>
      </c>
      <c r="DL34" s="520">
        <f>+entero!DL82</f>
        <v>97.467793388785267</v>
      </c>
      <c r="DM34" s="520">
        <f>+entero!DM82</f>
        <v>97.469174028914466</v>
      </c>
      <c r="DN34" s="519">
        <f>+entero!DN82</f>
        <v>3.4505427575126646E-2</v>
      </c>
      <c r="DO34" s="521">
        <f>+entero!DO82</f>
        <v>3.5413911773352069E-2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E4"/>
    <mergeCell ref="DF3:DF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G3:DG4"/>
    <mergeCell ref="DH3:D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4" width="8.140625" customWidth="1"/>
    <col min="115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933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27" t="str">
        <f>+entero!DE3</f>
        <v>Semana 1°</v>
      </c>
      <c r="DF3" s="927" t="str">
        <f>+entero!DF3</f>
        <v>Semana 2°</v>
      </c>
      <c r="DG3" s="927" t="str">
        <f>+entero!DG3</f>
        <v>Semana 3°</v>
      </c>
      <c r="DH3" s="927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31" t="s">
        <v>27</v>
      </c>
      <c r="DO3" s="932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934"/>
      <c r="E4" s="930"/>
      <c r="F4" s="930"/>
      <c r="G4" s="930"/>
      <c r="H4" s="930"/>
      <c r="I4" s="930"/>
      <c r="J4" s="930"/>
      <c r="K4" s="930"/>
      <c r="L4" s="930"/>
      <c r="M4" s="930"/>
      <c r="N4" s="930"/>
      <c r="O4" s="930"/>
      <c r="P4" s="930"/>
      <c r="Q4" s="930"/>
      <c r="R4" s="930"/>
      <c r="S4" s="930"/>
      <c r="T4" s="930"/>
      <c r="U4" s="930"/>
      <c r="V4" s="930"/>
      <c r="W4" s="930"/>
      <c r="X4" s="930"/>
      <c r="Y4" s="930"/>
      <c r="Z4" s="930"/>
      <c r="AA4" s="930"/>
      <c r="AB4" s="930"/>
      <c r="AC4" s="930"/>
      <c r="AD4" s="930"/>
      <c r="AE4" s="930"/>
      <c r="AF4" s="930"/>
      <c r="AG4" s="930"/>
      <c r="AH4" s="930"/>
      <c r="AI4" s="930"/>
      <c r="AJ4" s="930"/>
      <c r="AK4" s="930"/>
      <c r="AL4" s="930"/>
      <c r="AM4" s="930"/>
      <c r="AN4" s="930"/>
      <c r="AO4" s="930"/>
      <c r="AP4" s="930"/>
      <c r="AQ4" s="930"/>
      <c r="AR4" s="930"/>
      <c r="AS4" s="930"/>
      <c r="AT4" s="930"/>
      <c r="AU4" s="930"/>
      <c r="AV4" s="930"/>
      <c r="AW4" s="930"/>
      <c r="AX4" s="930"/>
      <c r="AY4" s="930"/>
      <c r="AZ4" s="930"/>
      <c r="BA4" s="930"/>
      <c r="BB4" s="930"/>
      <c r="BC4" s="930"/>
      <c r="BD4" s="930"/>
      <c r="BE4" s="930"/>
      <c r="BF4" s="930"/>
      <c r="BG4" s="930"/>
      <c r="BH4" s="930"/>
      <c r="BI4" s="930"/>
      <c r="BJ4" s="930"/>
      <c r="BK4" s="930"/>
      <c r="BL4" s="930"/>
      <c r="BM4" s="930"/>
      <c r="BN4" s="930"/>
      <c r="BO4" s="930"/>
      <c r="BP4" s="930"/>
      <c r="BQ4" s="930"/>
      <c r="BR4" s="930"/>
      <c r="BS4" s="930"/>
      <c r="BT4" s="930"/>
      <c r="BU4" s="930"/>
      <c r="BV4" s="930"/>
      <c r="BW4" s="930"/>
      <c r="BX4" s="930"/>
      <c r="BY4" s="930"/>
      <c r="BZ4" s="930"/>
      <c r="CA4" s="930"/>
      <c r="CB4" s="930"/>
      <c r="CC4" s="930"/>
      <c r="CD4" s="930"/>
      <c r="CE4" s="930"/>
      <c r="CF4" s="930"/>
      <c r="CG4" s="930"/>
      <c r="CH4" s="930"/>
      <c r="CI4" s="930"/>
      <c r="CJ4" s="930"/>
      <c r="CK4" s="930"/>
      <c r="CL4" s="930"/>
      <c r="CM4" s="930"/>
      <c r="CN4" s="930"/>
      <c r="CO4" s="930"/>
      <c r="CP4" s="930"/>
      <c r="CQ4" s="930"/>
      <c r="CR4" s="930"/>
      <c r="CS4" s="930"/>
      <c r="CT4" s="930"/>
      <c r="CU4" s="930"/>
      <c r="CV4" s="930"/>
      <c r="CW4" s="930"/>
      <c r="CX4" s="930"/>
      <c r="CY4" s="930"/>
      <c r="CZ4" s="930"/>
      <c r="DA4" s="930"/>
      <c r="DB4" s="930"/>
      <c r="DC4" s="930"/>
      <c r="DD4" s="930"/>
      <c r="DE4" s="928"/>
      <c r="DF4" s="928"/>
      <c r="DG4" s="928"/>
      <c r="DH4" s="928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74">
        <f>+entero!DG86</f>
        <v>6.9607370298756024</v>
      </c>
      <c r="DH8" s="74">
        <f>+entero!DH86</f>
        <v>6.956082664045895</v>
      </c>
      <c r="DI8" s="514">
        <f>+entero!DI86</f>
        <v>6.9619261130712022</v>
      </c>
      <c r="DJ8" s="514">
        <f>+entero!DJ86</f>
        <v>6.9634784302770196</v>
      </c>
      <c r="DK8" s="514">
        <f>+entero!DK86</f>
        <v>6.9692365687833124</v>
      </c>
      <c r="DL8" s="514">
        <f>+entero!DL86</f>
        <v>6.9651717592029092</v>
      </c>
      <c r="DM8" s="514">
        <f>+entero!DM86</f>
        <v>6.9570146719047186</v>
      </c>
      <c r="DN8" s="589">
        <f>+entero!DN86</f>
        <v>9.3200785882352477E-4</v>
      </c>
      <c r="DO8" s="535">
        <f>+entero!DO86</f>
        <v>1.339845864167799E-2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890"/>
      <c r="DF9" s="890"/>
      <c r="DG9" s="890"/>
      <c r="DH9" s="890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63">
        <f>+entero!DG88</f>
        <v>2.2121200000000001</v>
      </c>
      <c r="DH10" s="63">
        <f>+entero!DH88</f>
        <v>2.2131699999999999</v>
      </c>
      <c r="DI10" s="827">
        <f>+entero!DI88</f>
        <v>2.2136200000000001</v>
      </c>
      <c r="DJ10" s="827">
        <f>+entero!DJ88</f>
        <v>2.2137699999999998</v>
      </c>
      <c r="DK10" s="827">
        <f>+entero!DK88</f>
        <v>2.2139199999999999</v>
      </c>
      <c r="DL10" s="827">
        <f>+entero!DL88</f>
        <v>2.21407</v>
      </c>
      <c r="DM10" s="827">
        <f>+entero!DM88</f>
        <v>2.2142300000000001</v>
      </c>
      <c r="DN10" s="564">
        <f>+entero!DN88</f>
        <v>1.0600000000002829E-3</v>
      </c>
      <c r="DO10" s="462">
        <f>+entero!DO88</f>
        <v>4.789510069267422E-2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890"/>
      <c r="DF11" s="890"/>
      <c r="DG11" s="890"/>
      <c r="DH11" s="586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2"/>
      <c r="DO17" s="48">
        <f ca="1">NOW()</f>
        <v>42985.772069675928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</sheetData>
  <mergeCells count="111">
    <mergeCell ref="CV3:CV4"/>
    <mergeCell ref="CR3:CR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DG3:DG4"/>
    <mergeCell ref="DF3:DF4"/>
    <mergeCell ref="DI3:DM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BS3:BS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CD3:CD4"/>
    <mergeCell ref="DH3:DH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abSelected="1"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4" width="7.5703125" customWidth="1"/>
    <col min="115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entero!CT3</f>
        <v xml:space="preserve">2016                         A  fines de Sep* </v>
      </c>
      <c r="CU3" s="904" t="str">
        <f>entero!CU3</f>
        <v xml:space="preserve">2016                         A  fines de Oct* </v>
      </c>
      <c r="CV3" s="904" t="str">
        <f>entero!CV3</f>
        <v xml:space="preserve">2016                         A  fines de Nov* </v>
      </c>
      <c r="CW3" s="904" t="str">
        <f>entero!CW3</f>
        <v>2016                         A  fines de Dic* 15</v>
      </c>
      <c r="CX3" s="904" t="str">
        <f>entero!CX3</f>
        <v xml:space="preserve">2017                         A  fines de Ene* </v>
      </c>
      <c r="CY3" s="904" t="str">
        <f>entero!CY3</f>
        <v xml:space="preserve">2017                         A  fines de Feb* </v>
      </c>
      <c r="CZ3" s="904" t="str">
        <f>entero!CZ3</f>
        <v xml:space="preserve">2017                         A  fines de Mar* </v>
      </c>
      <c r="DA3" s="904" t="str">
        <f>entero!DA3</f>
        <v xml:space="preserve">2017                         A  fines de Abr* </v>
      </c>
      <c r="DB3" s="904" t="str">
        <f>entero!DB3</f>
        <v xml:space="preserve">2017                         A  fines de May* </v>
      </c>
      <c r="DC3" s="904" t="str">
        <f>entero!DC3</f>
        <v xml:space="preserve">2017                         A  fines de Jun* </v>
      </c>
      <c r="DD3" s="904" t="str">
        <f>entero!DD3</f>
        <v xml:space="preserve">2017                         A  fines de Jul* </v>
      </c>
      <c r="DE3" s="913" t="str">
        <f>entero!DE3</f>
        <v>Semana 1°</v>
      </c>
      <c r="DF3" s="913" t="str">
        <f>entero!DF3</f>
        <v>Semana 2°</v>
      </c>
      <c r="DG3" s="913" t="str">
        <f>entero!DG3</f>
        <v>Semana 3°</v>
      </c>
      <c r="DH3" s="913" t="str">
        <f>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9" t="s">
        <v>27</v>
      </c>
      <c r="DO3" s="920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 t="str">
        <f>entero!CT3</f>
        <v xml:space="preserve">2016                         A  fines de Sep* </v>
      </c>
      <c r="CU4" s="918" t="str">
        <f>entero!CU3</f>
        <v xml:space="preserve">2016                         A  fines de Oct* </v>
      </c>
      <c r="CV4" s="918" t="str">
        <f>entero!CV3</f>
        <v xml:space="preserve">2016                         A  fines de Nov* </v>
      </c>
      <c r="CW4" s="918" t="str">
        <f>entero!CW3</f>
        <v>2016                         A  fines de Dic* 15</v>
      </c>
      <c r="CX4" s="918" t="str">
        <f>entero!CX3</f>
        <v xml:space="preserve">2017                         A  fines de Ene* </v>
      </c>
      <c r="CY4" s="918" t="str">
        <f>entero!CY3</f>
        <v xml:space="preserve">2017                         A  fines de Feb* </v>
      </c>
      <c r="CZ4" s="918" t="str">
        <f>entero!CZ3</f>
        <v xml:space="preserve">2017                         A  fines de Mar* </v>
      </c>
      <c r="DA4" s="918" t="str">
        <f>entero!DA3</f>
        <v xml:space="preserve">2017                         A  fines de Abr* </v>
      </c>
      <c r="DB4" s="918" t="str">
        <f>entero!DB3</f>
        <v xml:space="preserve">2017                         A  fines de May* </v>
      </c>
      <c r="DC4" s="918" t="str">
        <f>entero!DC3</f>
        <v xml:space="preserve">2017                         A  fines de Jun* </v>
      </c>
      <c r="DD4" s="918" t="str">
        <f>entero!DD3</f>
        <v xml:space="preserve">2017                         A  fines de Jul* </v>
      </c>
      <c r="DE4" s="914" t="str">
        <f>entero!DE3</f>
        <v>Semana 1°</v>
      </c>
      <c r="DF4" s="914" t="str">
        <f>entero!DF3</f>
        <v>Semana 2°</v>
      </c>
      <c r="DG4" s="914" t="str">
        <f>entero!DG3</f>
        <v>Semana 3°</v>
      </c>
      <c r="DH4" s="914" t="str">
        <f>entero!DH3</f>
        <v>Semana 4°</v>
      </c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592">
        <f>+entero!DG91</f>
        <v>1100.9625167644533</v>
      </c>
      <c r="DH10" s="592">
        <f>+entero!DH91</f>
        <v>1079.9276894472505</v>
      </c>
      <c r="DI10" s="862">
        <f>+entero!DI91</f>
        <v>1079.9276894472505</v>
      </c>
      <c r="DJ10" s="862">
        <f>+entero!DJ91</f>
        <v>1079.9276894472505</v>
      </c>
      <c r="DK10" s="862">
        <f>+entero!DK91</f>
        <v>1079.9276894472505</v>
      </c>
      <c r="DL10" s="862">
        <f>+entero!DL91</f>
        <v>1079.9276894472505</v>
      </c>
      <c r="DM10" s="862">
        <f>+entero!DM91</f>
        <v>1120.6303623646254</v>
      </c>
      <c r="DN10" s="593">
        <f>+entero!DN91</f>
        <v>40.702672917374912</v>
      </c>
      <c r="DO10" s="838">
        <f>+entero!DO91</f>
        <v>3.7690183625357587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</sheetData>
  <mergeCells count="111">
    <mergeCell ref="DI3:DM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G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K3:AK4"/>
    <mergeCell ref="DH3:DH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DF3:DF4"/>
    <mergeCell ref="CD3:CD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4" width="7.85546875" customWidth="1"/>
    <col min="115" max="117" width="7.7109375" customWidth="1"/>
    <col min="118" max="118" width="1.5703125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89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89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73"/>
      <c r="DF6" s="873"/>
      <c r="DG6" s="873"/>
      <c r="DH6" s="873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89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73"/>
      <c r="DF7" s="873"/>
      <c r="DG7" s="873"/>
      <c r="DH7" s="873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89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73"/>
      <c r="DF8" s="873"/>
      <c r="DG8" s="873"/>
      <c r="DH8" s="873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89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73"/>
      <c r="DF9" s="873"/>
      <c r="DG9" s="873"/>
      <c r="DH9" s="873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89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73"/>
      <c r="DF10" s="873"/>
      <c r="DG10" s="873"/>
      <c r="DH10" s="873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89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73"/>
      <c r="DF11" s="873"/>
      <c r="DG11" s="873"/>
      <c r="DH11" s="873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89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73"/>
      <c r="DF12" s="873"/>
      <c r="DG12" s="873"/>
      <c r="DH12" s="873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89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73"/>
      <c r="DF13" s="873"/>
      <c r="DG13" s="873"/>
      <c r="DH13" s="873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73"/>
      <c r="DF14" s="873"/>
      <c r="DG14" s="873"/>
      <c r="DH14" s="873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73"/>
      <c r="DF15" s="873"/>
      <c r="DG15" s="873"/>
      <c r="DH15" s="873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73"/>
      <c r="DF16" s="873"/>
      <c r="DG16" s="873"/>
      <c r="DH16" s="873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74"/>
      <c r="DF17" s="874"/>
      <c r="DG17" s="874"/>
      <c r="DH17" s="874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</sheetData>
  <mergeCells count="111">
    <mergeCell ref="CV3:CV4"/>
    <mergeCell ref="BK3:BK4"/>
    <mergeCell ref="BI3:BI4"/>
    <mergeCell ref="BB3:BB4"/>
    <mergeCell ref="BC3:BC4"/>
    <mergeCell ref="DG3:DG4"/>
    <mergeCell ref="DF3:DF4"/>
    <mergeCell ref="DI3:DM3"/>
    <mergeCell ref="DE3:DE4"/>
    <mergeCell ref="DD3:DD4"/>
    <mergeCell ref="DC3:DC4"/>
    <mergeCell ref="DB3:DB4"/>
    <mergeCell ref="DA3:DA4"/>
    <mergeCell ref="CN3:CN4"/>
    <mergeCell ref="BX3:BX4"/>
    <mergeCell ref="BY3:BY4"/>
    <mergeCell ref="BZ3:BZ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DH3:DH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2017-09-07T22:35:02Z</cp:lastPrinted>
  <dcterms:created xsi:type="dcterms:W3CDTF">2002-08-27T17:11:09Z</dcterms:created>
  <dcterms:modified xsi:type="dcterms:W3CDTF">2017-09-07T22:35:29Z</dcterms:modified>
</cp:coreProperties>
</file>