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67" i="1" l="1"/>
  <c r="CR64" i="1"/>
  <c r="CR61" i="1"/>
  <c r="CR58" i="1"/>
  <c r="CR55" i="1"/>
  <c r="CR53" i="1"/>
  <c r="CR35" i="1"/>
  <c r="CR34" i="1"/>
  <c r="CR33" i="1"/>
  <c r="CR31" i="1"/>
  <c r="CR30" i="1"/>
  <c r="CR29" i="1"/>
  <c r="CR21" i="1"/>
  <c r="CR20" i="1"/>
  <c r="CR19" i="1"/>
  <c r="CR18" i="1"/>
  <c r="CR17" i="1"/>
  <c r="CQ67" i="1"/>
  <c r="CQ64" i="1"/>
  <c r="CQ61" i="1"/>
  <c r="CQ58" i="1"/>
  <c r="CQ55" i="1"/>
  <c r="CQ53" i="1"/>
  <c r="CQ35" i="1"/>
  <c r="CQ34" i="1"/>
  <c r="CQ33" i="1"/>
  <c r="CQ31" i="1"/>
  <c r="CQ30" i="1"/>
  <c r="CQ21" i="1"/>
  <c r="CQ20" i="1"/>
  <c r="CQ19" i="1"/>
  <c r="CQ18" i="1"/>
  <c r="CQ17" i="1"/>
  <c r="CQ29" i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Q7" i="1" l="1"/>
  <c r="CR90" i="1"/>
  <c r="CR87" i="1"/>
  <c r="CR85" i="1"/>
  <c r="CR84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Q90" i="1"/>
  <c r="CQ87" i="1"/>
  <c r="CQ85" i="1"/>
  <c r="CQ84" i="1"/>
  <c r="CQ81" i="1"/>
  <c r="CQ80" i="1"/>
  <c r="CQ79" i="1"/>
  <c r="CQ77" i="1"/>
  <c r="CQ76" i="1"/>
  <c r="CQ75" i="1"/>
  <c r="CQ74" i="1"/>
  <c r="CQ73" i="1"/>
  <c r="CQ72" i="1"/>
  <c r="CQ71" i="1"/>
  <c r="CQ70" i="1"/>
  <c r="CQ51" i="1"/>
  <c r="CQ50" i="1"/>
  <c r="CQ48" i="1"/>
  <c r="CQ47" i="1"/>
  <c r="CQ43" i="1"/>
  <c r="CQ42" i="1"/>
  <c r="CQ41" i="1"/>
  <c r="CQ39" i="1"/>
  <c r="CQ38" i="1"/>
  <c r="CQ37" i="1"/>
  <c r="CQ27" i="1"/>
  <c r="CQ26" i="1"/>
  <c r="CQ25" i="1"/>
  <c r="CQ24" i="1"/>
  <c r="CQ23" i="1"/>
  <c r="CQ16" i="1"/>
  <c r="CQ15" i="1"/>
  <c r="CQ14" i="1"/>
  <c r="CQ13" i="1"/>
  <c r="CQ11" i="1"/>
  <c r="CQ10" i="1"/>
  <c r="CQ9" i="1"/>
  <c r="CQ8" i="1"/>
  <c r="CL83" i="1" l="1"/>
  <c r="CP54" i="1" l="1"/>
  <c r="CO54" i="1"/>
  <c r="CN54" i="1"/>
  <c r="CM54" i="1"/>
  <c r="CL54" i="1"/>
  <c r="CP56" i="1" l="1"/>
  <c r="CP59" i="1"/>
  <c r="CP62" i="1"/>
  <c r="CP65" i="1"/>
  <c r="CP68" i="1"/>
  <c r="CO68" i="1"/>
  <c r="CO65" i="1"/>
  <c r="CO62" i="1"/>
  <c r="CO59" i="1"/>
  <c r="CO56" i="1"/>
  <c r="CN56" i="1"/>
  <c r="CN59" i="1"/>
  <c r="CN62" i="1"/>
  <c r="CN65" i="1"/>
  <c r="CN68" i="1"/>
  <c r="CM68" i="1"/>
  <c r="CM65" i="1"/>
  <c r="CM62" i="1"/>
  <c r="CM59" i="1"/>
  <c r="CM56" i="1"/>
  <c r="CL68" i="1"/>
  <c r="CL65" i="1"/>
  <c r="CL62" i="1"/>
  <c r="CL59" i="1"/>
  <c r="CL56" i="1"/>
  <c r="CP35" i="1"/>
  <c r="CP34" i="1"/>
  <c r="CP33" i="1"/>
  <c r="CO35" i="1"/>
  <c r="CO34" i="1"/>
  <c r="CO33" i="1"/>
  <c r="CN35" i="1"/>
  <c r="CN34" i="1"/>
  <c r="CN33" i="1"/>
  <c r="CM35" i="1"/>
  <c r="CM34" i="1"/>
  <c r="CM33" i="1"/>
  <c r="CL35" i="1"/>
  <c r="CL34" i="1"/>
  <c r="CL33" i="1"/>
  <c r="CW73" i="1" l="1"/>
  <c r="CW74" i="1"/>
  <c r="CW75" i="1"/>
  <c r="CW72" i="1"/>
  <c r="CL49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L46" i="1"/>
  <c r="CL45" i="1" s="1"/>
  <c r="CL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M12" i="1" l="1"/>
  <c r="CN12" i="1"/>
  <c r="CO12" i="1"/>
  <c r="CP12" i="1"/>
  <c r="CR12" i="1" l="1"/>
  <c r="CQ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O83" i="1"/>
  <c r="CO49" i="1"/>
  <c r="CO46" i="1"/>
  <c r="CO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Q20" i="6"/>
  <c r="CQ17" i="6"/>
  <c r="CQ14" i="6"/>
  <c r="CQ11" i="6"/>
  <c r="CR20" i="6"/>
  <c r="CR17" i="6"/>
  <c r="CR14" i="6"/>
  <c r="CR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P83" i="1" l="1"/>
  <c r="CQ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P46" i="1" l="1"/>
  <c r="CR46" i="1" l="1"/>
  <c r="CQ46" i="1"/>
  <c r="CP49" i="1"/>
  <c r="CQ49" i="1" l="1"/>
  <c r="CR49" i="1"/>
  <c r="CC10" i="5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CP45" i="1"/>
  <c r="CQ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M46" i="1"/>
  <c r="CN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M49" i="1"/>
  <c r="CN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M83" i="1"/>
  <c r="CN83" i="1"/>
  <c r="BM97" i="1"/>
  <c r="BM98" i="1"/>
  <c r="BM99" i="1"/>
  <c r="AU100" i="1"/>
  <c r="CM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N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M4" i="1"/>
  <c r="CN4" i="1" s="1"/>
  <c r="CP4" i="1" l="1"/>
  <c r="CO4" i="1"/>
  <c r="CO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P4" i="4" l="1"/>
  <c r="CO4" i="7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CP4" i="10" l="1"/>
  <c r="CP4" i="9"/>
  <c r="CP4" i="7"/>
  <c r="CP4" i="5"/>
  <c r="CP4" i="6"/>
  <c r="C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<sst xmlns="http://schemas.openxmlformats.org/spreadsheetml/2006/main" count="439" uniqueCount="233">
  <si>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</si>
  <si>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</si>
  <si>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</si>
  <si>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</si>
  <si>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</si>
  <si>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</si>
  <si>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</si>
  <si>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</si>
  <si>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</si>
  <si>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</si>
  <si>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</si>
  <si>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</si>
  <si>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</si>
  <si>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</si>
  <si>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</si>
  <si>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</si>
  <si>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</si>
  <si>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</si>
  <si>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</si>
  <si>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</si>
  <si>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</si>
  <si>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</si>
  <si>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</si>
  <si>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</si>
  <si>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</si>
  <si>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</si>
  <si>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</si>
  <si>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</si>
  <si>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</si>
  <si>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</si>
  <si>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</si>
  <si>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</si>
  <si>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</si>
  <si>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</si>
  <si>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</si>
  <si>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</si>
  <si>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</si>
  <si>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</si>
  <si>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</si>
  <si>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</si>
  <si>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</si>
  <si>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</si>
  <si>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</si>
  <si>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</si>
  <si>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</si>
  <si>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</si>
  <si>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</si>
  <si>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</si>
  <si>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</si>
  <si>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</si>
  <si>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</si>
  <si>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</si>
  <si>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</si>
  <si>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</si>
  <si>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</si>
  <si>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</si>
  <si>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</si>
  <si>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</si>
  <si>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</si>
  <si>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</si>
  <si>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</si>
  <si>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</si>
  <si>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</si>
  <si>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</si>
  <si>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</si>
  <si>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</si>
  <si>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</si>
  <si>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</si>
  <si>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</si>
  <si>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</si>
  <si>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</si>
  <si>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</si>
  <si>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</si>
  <si>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</si>
  <si>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</si>
  <si>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</si>
  <si>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</si>
  <si>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</si>
  <si>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</si>
  <si>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</si>
  <si>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</si>
  <si>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</si>
  <si>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</si>
  <si>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</si>
  <si>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</si>
  <si>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</si>
  <si>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</si>
  <si>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</si>
  <si>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</si>
  <si>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</si>
  <si>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</si>
  <si>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</si>
  <si>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</si>
  <si>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</si>
  <si>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</si>
  <si>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</si>
  <si>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</si>
  <si>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</si>
  <si>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</si>
  <si>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</si>
  <si>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</si>
  <si>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</si>
  <si>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</si>
  <si>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</si>
  <si>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</si>
  <si>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</si>
  <si>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</si>
  <si>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</si>
  <si>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</si>
  <si>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</si>
  <si>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</si>
  <si>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</si>
  <si>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</si>
  <si>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</si>
  <si>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</si>
  <si>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</si>
  <si>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</si>
  <si>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</si>
  <si>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</si>
  <si>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</si>
  <si>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</si>
  <si>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</si>
  <si>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</si>
  <si>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</si>
  <si>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</si>
  <si>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</si>
  <si>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</si>
  <si>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</si>
  <si>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</si>
  <si>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</si>
  <si>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</si>
  <si>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</si>
  <si>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</si>
  <si>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</si>
  <si>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</si>
  <si>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</si>
  <si>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</si>
  <si>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</si>
  <si>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</si>
  <si>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</si>
  <si>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</si>
  <si>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</si>
  <si>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</si>
  <si>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</si>
  <si>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</si>
  <si>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</si>
  <si>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</si>
  <si>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</si>
  <si>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</si>
  <si>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</si>
  <si>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</si>
  <si>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</si>
  <si>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</si>
  <si>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</si>
  <si>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</si>
  <si>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</si>
  <si>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</si>
  <si>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</si>
  <si>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</si>
  <si>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</si>
  <si>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</si>
  <si>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</si>
  <si>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</si>
  <si>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</si>
  <si>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</si>
  <si>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</si>
  <si>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</si>
  <si>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</si>
  <si>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</si>
  <si>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</si>
  <si>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</si>
  <si>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</si>
  <si>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</si>
  <si>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</si>
  <si>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</si>
  <si>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</si>
  <si>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</si>
  <si>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</si>
  <si>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</si>
  <si>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</si>
  <si>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</si>
  <si>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</si>
  <si>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</si>
  <si>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</si>
  <si>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</si>
  <si>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</si>
  <si>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</si>
  <si>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</si>
  <si>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</si>
  <si>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</si>
  <si>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</si>
  <si>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</si>
  <si>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</si>
  <si>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</si>
  <si>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</si>
  <si>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</si>
  <si>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</si>
  <si>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</si>
  <si>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</si>
  <si>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</si>
  <si>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</si>
  <si>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</si>
  <si>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</si>
  <si>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</si>
  <si>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</si>
  <si>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</si>
  <si>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</si>
  <si>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</si>
  <si>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</si>
  <si>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</si>
  <si>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</si>
  <si>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</si>
  <si>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</si>
  <si>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</si>
  <si>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</si>
  <si>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</si>
  <si>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</si>
  <si>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</si>
  <si>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</si>
  <si>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</si>
  <si>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</si>
  <si>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</si>
  <si>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</si>
  <si>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</si>
  <si>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</si>
  <si>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</si>
  <si>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</si>
  <si>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</si>
  <si>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</si>
  <si>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1*</t>
  </si>
  <si>
    <t xml:space="preserve">Operaciones CKn el exterior (saldos y flujos en millones de $us) </t>
  </si>
  <si>
    <t>Posición CKn el FMI</t>
  </si>
  <si>
    <t>Activos internacionales netos de CKrto Plazo CKnsolidados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</si>
</sst>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30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0" fillId="9" borderId="0" applyNumberFormat="0" applyBorder="0" applyAlignment="0" applyProtection="0"/>
    <xf numFmtId="173" fontId="6" fillId="0" borderId="0" applyNumberFormat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6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13" borderId="28" applyNumberFormat="0" applyAlignment="0" applyProtection="0"/>
    <xf numFmtId="0" fontId="73" fillId="0" borderId="33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28" borderId="34" applyNumberFormat="0" applyFont="0" applyAlignment="0" applyProtection="0"/>
    <xf numFmtId="0" fontId="74" fillId="26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2" borderId="0" applyNumberFormat="0" applyBorder="0" applyAlignment="0" applyProtection="0"/>
    <xf numFmtId="0" fontId="31" fillId="38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9" borderId="0" applyNumberFormat="0" applyBorder="0" applyAlignment="0" applyProtection="0"/>
    <xf numFmtId="0" fontId="31" fillId="33" borderId="0" applyNumberFormat="0" applyBorder="0" applyAlignment="0" applyProtection="0"/>
    <xf numFmtId="0" fontId="31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4" fillId="26" borderId="35" applyNumberFormat="0" applyAlignment="0" applyProtection="0"/>
    <xf numFmtId="0" fontId="61" fillId="26" borderId="28" applyNumberFormat="0" applyAlignment="0" applyProtection="0"/>
    <xf numFmtId="173" fontId="6" fillId="0" borderId="0" applyNumberFormat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4" fontId="66" fillId="0" borderId="0">
      <protection locked="0"/>
    </xf>
    <xf numFmtId="190" fontId="90" fillId="0" borderId="0">
      <protection locked="0"/>
    </xf>
    <xf numFmtId="0" fontId="63" fillId="0" borderId="0">
      <protection locked="0"/>
    </xf>
    <xf numFmtId="181" fontId="66" fillId="0" borderId="0">
      <protection locked="0"/>
    </xf>
    <xf numFmtId="186" fontId="66" fillId="0" borderId="0">
      <protection locked="0"/>
    </xf>
    <xf numFmtId="191" fontId="90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0" fontId="90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91" fillId="0" borderId="37"/>
    <xf numFmtId="0" fontId="72" fillId="13" borderId="28" applyNumberFormat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87" fillId="0" borderId="38" applyNumberFormat="0" applyFill="0" applyAlignment="0" applyProtection="0"/>
    <xf numFmtId="0" fontId="65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71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6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98" fillId="0" borderId="0">
      <protection locked="0"/>
    </xf>
    <xf numFmtId="182" fontId="66" fillId="0" borderId="0">
      <protection locked="0"/>
    </xf>
    <xf numFmtId="192" fontId="90" fillId="0" borderId="0">
      <protection locked="0"/>
    </xf>
    <xf numFmtId="182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82" fillId="0" borderId="0">
      <protection locked="0"/>
    </xf>
    <xf numFmtId="0" fontId="92" fillId="0" borderId="0">
      <protection locked="0"/>
    </xf>
    <xf numFmtId="0" fontId="71" fillId="0" borderId="0">
      <protection locked="0"/>
    </xf>
    <xf numFmtId="0" fontId="82" fillId="0" borderId="0">
      <protection locked="0"/>
    </xf>
    <xf numFmtId="0" fontId="93" fillId="0" borderId="0">
      <protection locked="0"/>
    </xf>
    <xf numFmtId="0" fontId="71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43" fontId="58" fillId="0" borderId="0" applyFont="0" applyFill="0" applyBorder="0" applyAlignment="0" applyProtection="0"/>
    <xf numFmtId="19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6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6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95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0" borderId="0"/>
    <xf numFmtId="0" fontId="95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4" fillId="0" borderId="0"/>
    <xf numFmtId="0" fontId="6" fillId="0" borderId="0"/>
    <xf numFmtId="0" fontId="95" fillId="0" borderId="0"/>
    <xf numFmtId="0" fontId="6" fillId="0" borderId="0">
      <alignment wrapText="1"/>
    </xf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37" fontId="6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95" fillId="0" borderId="0"/>
    <xf numFmtId="0" fontId="4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6" fillId="0" borderId="0"/>
    <xf numFmtId="0" fontId="4" fillId="0" borderId="0"/>
    <xf numFmtId="0" fontId="6" fillId="0" borderId="0"/>
    <xf numFmtId="0" fontId="95" fillId="0" borderId="0"/>
    <xf numFmtId="0" fontId="96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58" fillId="28" borderId="34" applyNumberFormat="0" applyFont="0" applyAlignment="0" applyProtection="0"/>
    <xf numFmtId="0" fontId="58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184" fontId="66" fillId="0" borderId="0">
      <protection locked="0"/>
    </xf>
    <xf numFmtId="197" fontId="90" fillId="0" borderId="0">
      <protection locked="0"/>
    </xf>
    <xf numFmtId="0" fontId="63" fillId="0" borderId="0">
      <protection locked="0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60" fillId="9" borderId="0" applyNumberFormat="0" applyBorder="0" applyAlignment="0" applyProtection="0"/>
    <xf numFmtId="183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6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90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6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7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62" fillId="27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167" fontId="12" fillId="0" borderId="0" xfId="0" applyNumberFormat="1" applyFont="1"/>
    <xf numFmtId="167" fontId="8" fillId="0" borderId="0" xfId="0" applyNumberFormat="1" applyFont="1"/>
    <xf numFmtId="0" fontId="16" fillId="0" borderId="0" xfId="0" applyFont="1" applyAlignment="1">
      <alignment vertical="justify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7" fontId="11" fillId="2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Fill="1" applyBorder="1" applyProtection="1">
      <protection locked="0"/>
    </xf>
    <xf numFmtId="167" fontId="11" fillId="2" borderId="1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Protection="1">
      <protection locked="0"/>
    </xf>
    <xf numFmtId="0" fontId="0" fillId="0" borderId="2" xfId="0" applyBorder="1"/>
    <xf numFmtId="0" fontId="10" fillId="0" borderId="2" xfId="0" applyFont="1" applyBorder="1"/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0" fillId="0" borderId="3" xfId="0" applyBorder="1"/>
    <xf numFmtId="0" fontId="11" fillId="0" borderId="4" xfId="0" applyFont="1" applyBorder="1"/>
    <xf numFmtId="0" fontId="11" fillId="0" borderId="4" xfId="0" applyFont="1" applyFill="1" applyBorder="1"/>
    <xf numFmtId="0" fontId="0" fillId="0" borderId="1" xfId="0" applyBorder="1"/>
    <xf numFmtId="0" fontId="10" fillId="0" borderId="1" xfId="0" applyFont="1" applyBorder="1" applyProtection="1"/>
    <xf numFmtId="0" fontId="11" fillId="0" borderId="1" xfId="0" applyFont="1" applyBorder="1" applyProtection="1"/>
    <xf numFmtId="0" fontId="15" fillId="0" borderId="1" xfId="0" applyFont="1" applyBorder="1"/>
    <xf numFmtId="0" fontId="11" fillId="0" borderId="3" xfId="0" applyFont="1" applyBorder="1"/>
    <xf numFmtId="0" fontId="11" fillId="0" borderId="5" xfId="0" applyFont="1" applyBorder="1"/>
    <xf numFmtId="0" fontId="11" fillId="0" borderId="4" xfId="0" applyFont="1" applyBorder="1" applyProtection="1"/>
    <xf numFmtId="167" fontId="11" fillId="2" borderId="3" xfId="0" applyNumberFormat="1" applyFont="1" applyFill="1" applyBorder="1" applyProtection="1">
      <protection locked="0"/>
    </xf>
    <xf numFmtId="170" fontId="8" fillId="0" borderId="0" xfId="0" applyNumberFormat="1" applyFont="1"/>
    <xf numFmtId="170" fontId="12" fillId="0" borderId="0" xfId="0" applyNumberFormat="1" applyFont="1"/>
    <xf numFmtId="167" fontId="11" fillId="0" borderId="0" xfId="0" applyNumberFormat="1" applyFont="1" applyFill="1" applyBorder="1"/>
    <xf numFmtId="167" fontId="11" fillId="0" borderId="4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Protection="1">
      <protection locked="0"/>
    </xf>
    <xf numFmtId="167" fontId="11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right"/>
    </xf>
    <xf numFmtId="0" fontId="11" fillId="0" borderId="7" xfId="0" applyFont="1" applyBorder="1"/>
    <xf numFmtId="0" fontId="11" fillId="0" borderId="0" xfId="0" applyFont="1" applyBorder="1"/>
    <xf numFmtId="0" fontId="0" fillId="0" borderId="0" xfId="0" applyBorder="1"/>
    <xf numFmtId="2" fontId="11" fillId="3" borderId="0" xfId="0" applyNumberFormat="1" applyFont="1" applyFill="1" applyBorder="1" applyAlignment="1" applyProtection="1">
      <alignment horizontal="right"/>
    </xf>
    <xf numFmtId="2" fontId="11" fillId="3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171" fontId="23" fillId="0" borderId="0" xfId="0" applyNumberFormat="1" applyFont="1"/>
    <xf numFmtId="0" fontId="17" fillId="0" borderId="0" xfId="0" applyFont="1" applyFill="1" applyBorder="1" applyAlignment="1" applyProtection="1">
      <alignment vertical="center" textRotation="255"/>
      <protection locked="0"/>
    </xf>
    <xf numFmtId="0" fontId="11" fillId="0" borderId="3" xfId="0" applyFont="1" applyBorder="1" applyProtection="1"/>
    <xf numFmtId="171" fontId="24" fillId="0" borderId="0" xfId="0" applyNumberFormat="1" applyFont="1"/>
    <xf numFmtId="0" fontId="7" fillId="0" borderId="0" xfId="0" quotePrefix="1" applyFont="1" applyAlignment="1">
      <alignment horizontal="right"/>
    </xf>
    <xf numFmtId="167" fontId="11" fillId="2" borderId="6" xfId="0" applyNumberFormat="1" applyFont="1" applyFill="1" applyBorder="1" applyProtection="1">
      <protection locked="0"/>
    </xf>
    <xf numFmtId="0" fontId="12" fillId="0" borderId="3" xfId="0" applyFont="1" applyBorder="1"/>
    <xf numFmtId="167" fontId="11" fillId="0" borderId="7" xfId="0" applyNumberFormat="1" applyFont="1" applyFill="1" applyBorder="1"/>
    <xf numFmtId="167" fontId="11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11" fillId="2" borderId="10" xfId="0" applyNumberFormat="1" applyFont="1" applyFill="1" applyBorder="1" applyProtection="1">
      <protection locked="0"/>
    </xf>
    <xf numFmtId="167" fontId="11" fillId="2" borderId="11" xfId="0" applyNumberFormat="1" applyFont="1" applyFill="1" applyBorder="1" applyProtection="1">
      <protection locked="0"/>
    </xf>
    <xf numFmtId="167" fontId="11" fillId="2" borderId="11" xfId="0" applyNumberFormat="1" applyFont="1" applyFill="1" applyBorder="1" applyAlignment="1">
      <alignment horizontal="right" vertical="center" wrapText="1"/>
    </xf>
    <xf numFmtId="167" fontId="11" fillId="2" borderId="0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11" fillId="2" borderId="10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/>
    <xf numFmtId="167" fontId="11" fillId="0" borderId="10" xfId="0" applyNumberFormat="1" applyFont="1" applyFill="1" applyBorder="1"/>
    <xf numFmtId="2" fontId="11" fillId="2" borderId="10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1" xfId="0" applyFont="1" applyBorder="1" applyProtection="1"/>
    <xf numFmtId="167" fontId="11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11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0" fillId="0" borderId="12" xfId="0" applyNumberFormat="1" applyFont="1" applyFill="1" applyBorder="1"/>
    <xf numFmtId="167" fontId="11" fillId="0" borderId="12" xfId="0" applyNumberFormat="1" applyFont="1" applyFill="1" applyBorder="1"/>
    <xf numFmtId="169" fontId="11" fillId="0" borderId="12" xfId="0" applyNumberFormat="1" applyFont="1" applyFill="1" applyBorder="1" applyProtection="1">
      <protection locked="0"/>
    </xf>
    <xf numFmtId="172" fontId="7" fillId="0" borderId="13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/>
    <xf numFmtId="2" fontId="9" fillId="0" borderId="1" xfId="0" applyNumberFormat="1" applyFont="1" applyBorder="1"/>
    <xf numFmtId="2" fontId="11" fillId="2" borderId="1" xfId="0" applyNumberFormat="1" applyFont="1" applyFill="1" applyBorder="1" applyAlignment="1" applyProtection="1">
      <alignment horizontal="right"/>
      <protection locked="0"/>
    </xf>
    <xf numFmtId="167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7" fillId="0" borderId="1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 applyProtection="1">
      <alignment horizontal="right"/>
      <protection locked="0"/>
    </xf>
    <xf numFmtId="0" fontId="20" fillId="0" borderId="14" xfId="0" applyFont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10" fontId="11" fillId="2" borderId="4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10" fontId="11" fillId="2" borderId="1" xfId="0" applyNumberFormat="1" applyFont="1" applyFill="1" applyBorder="1" applyProtection="1">
      <protection locked="0"/>
    </xf>
    <xf numFmtId="0" fontId="11" fillId="0" borderId="5" xfId="0" applyFont="1" applyFill="1" applyBorder="1"/>
    <xf numFmtId="10" fontId="11" fillId="2" borderId="3" xfId="0" applyNumberFormat="1" applyFont="1" applyFill="1" applyBorder="1" applyProtection="1">
      <protection locked="0"/>
    </xf>
    <xf numFmtId="0" fontId="20" fillId="0" borderId="4" xfId="0" applyFont="1" applyFill="1" applyBorder="1"/>
    <xf numFmtId="10" fontId="11" fillId="2" borderId="10" xfId="1" applyNumberFormat="1" applyFont="1" applyFill="1" applyBorder="1" applyAlignment="1">
      <alignment horizontal="right"/>
    </xf>
    <xf numFmtId="10" fontId="11" fillId="2" borderId="0" xfId="1" applyNumberFormat="1" applyFont="1" applyFill="1" applyBorder="1" applyAlignment="1">
      <alignment horizontal="right"/>
    </xf>
    <xf numFmtId="167" fontId="11" fillId="2" borderId="3" xfId="0" applyNumberFormat="1" applyFont="1" applyFill="1" applyBorder="1" applyAlignment="1">
      <alignment horizontal="right"/>
    </xf>
    <xf numFmtId="167" fontId="11" fillId="2" borderId="6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 applyProtection="1">
      <alignment horizontal="left"/>
    </xf>
    <xf numFmtId="2" fontId="11" fillId="2" borderId="12" xfId="0" applyNumberFormat="1" applyFont="1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 applyProtection="1">
      <alignment horizontal="right"/>
      <protection locked="0"/>
    </xf>
    <xf numFmtId="0" fontId="11" fillId="0" borderId="8" xfId="0" applyFont="1" applyFill="1" applyBorder="1"/>
    <xf numFmtId="0" fontId="12" fillId="0" borderId="4" xfId="0" applyFont="1" applyFill="1" applyBorder="1"/>
    <xf numFmtId="0" fontId="20" fillId="0" borderId="5" xfId="0" applyFont="1" applyBorder="1" applyAlignment="1">
      <alignment horizontal="center" vertical="center" wrapText="1"/>
    </xf>
    <xf numFmtId="10" fontId="11" fillId="0" borderId="10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17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1" fillId="0" borderId="4" xfId="0" applyFont="1" applyBorder="1" applyAlignment="1" applyProtection="1">
      <alignment horizontal="left" indent="1"/>
    </xf>
    <xf numFmtId="172" fontId="30" fillId="0" borderId="1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167" fontId="12" fillId="2" borderId="1" xfId="0" applyNumberFormat="1" applyFont="1" applyFill="1" applyBorder="1" applyAlignment="1" applyProtection="1">
      <alignment horizontal="right"/>
      <protection locked="0"/>
    </xf>
    <xf numFmtId="167" fontId="12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0" xfId="0" applyNumberFormat="1" applyFont="1" applyFill="1" applyBorder="1" applyProtection="1"/>
    <xf numFmtId="167" fontId="33" fillId="0" borderId="10" xfId="0" applyNumberFormat="1" applyFont="1" applyFill="1" applyBorder="1" applyAlignment="1" applyProtection="1">
      <alignment horizontal="right" vertical="center" wrapText="1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67" fontId="12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Protection="1">
      <protection locked="0"/>
    </xf>
    <xf numFmtId="167" fontId="34" fillId="0" borderId="10" xfId="0" applyNumberFormat="1" applyFont="1" applyFill="1" applyBorder="1"/>
    <xf numFmtId="167" fontId="12" fillId="2" borderId="10" xfId="0" applyNumberFormat="1" applyFont="1" applyFill="1" applyBorder="1" applyAlignment="1">
      <alignment horizontal="right"/>
    </xf>
    <xf numFmtId="167" fontId="12" fillId="2" borderId="1" xfId="0" applyNumberFormat="1" applyFont="1" applyFill="1" applyBorder="1" applyAlignment="1">
      <alignment horizontal="right"/>
    </xf>
    <xf numFmtId="10" fontId="12" fillId="2" borderId="10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169" fontId="33" fillId="0" borderId="10" xfId="0" applyNumberFormat="1" applyFont="1" applyFill="1" applyBorder="1" applyProtection="1">
      <protection locked="0"/>
    </xf>
    <xf numFmtId="2" fontId="12" fillId="2" borderId="0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166" fontId="12" fillId="2" borderId="10" xfId="0" applyNumberFormat="1" applyFont="1" applyFill="1" applyBorder="1" applyAlignment="1" applyProtection="1">
      <alignment horizontal="right"/>
      <protection locked="0"/>
    </xf>
    <xf numFmtId="166" fontId="12" fillId="2" borderId="1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168" fontId="12" fillId="2" borderId="1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Protection="1">
      <protection locked="0"/>
    </xf>
    <xf numFmtId="0" fontId="35" fillId="0" borderId="12" xfId="0" applyFont="1" applyBorder="1"/>
    <xf numFmtId="2" fontId="33" fillId="0" borderId="12" xfId="0" applyNumberFormat="1" applyFont="1" applyFill="1" applyBorder="1" applyAlignment="1" applyProtection="1">
      <alignment horizontal="right"/>
    </xf>
    <xf numFmtId="168" fontId="31" fillId="2" borderId="10" xfId="0" applyNumberFormat="1" applyFont="1" applyFill="1" applyBorder="1" applyProtection="1"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0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67" fontId="33" fillId="0" borderId="0" xfId="0" applyNumberFormat="1" applyFont="1" applyBorder="1"/>
    <xf numFmtId="170" fontId="32" fillId="0" borderId="0" xfId="0" applyNumberFormat="1" applyFont="1" applyBorder="1"/>
    <xf numFmtId="170" fontId="32" fillId="0" borderId="0" xfId="0" applyNumberFormat="1" applyFont="1"/>
    <xf numFmtId="0" fontId="35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0" fontId="32" fillId="0" borderId="0" xfId="0" applyFont="1"/>
    <xf numFmtId="166" fontId="31" fillId="2" borderId="10" xfId="0" applyNumberFormat="1" applyFont="1" applyFill="1" applyBorder="1" applyAlignment="1" applyProtection="1">
      <alignment horizontal="right"/>
      <protection locked="0"/>
    </xf>
    <xf numFmtId="2" fontId="11" fillId="6" borderId="0" xfId="0" applyNumberFormat="1" applyFont="1" applyFill="1" applyBorder="1" applyAlignment="1" applyProtection="1">
      <alignment horizontal="right"/>
    </xf>
    <xf numFmtId="167" fontId="33" fillId="0" borderId="1" xfId="0" applyNumberFormat="1" applyFont="1" applyFill="1" applyBorder="1"/>
    <xf numFmtId="167" fontId="34" fillId="0" borderId="1" xfId="0" applyNumberFormat="1" applyFont="1" applyFill="1" applyBorder="1"/>
    <xf numFmtId="0" fontId="11" fillId="0" borderId="4" xfId="0" applyFont="1" applyFill="1" applyBorder="1" applyAlignment="1" applyProtection="1"/>
    <xf numFmtId="0" fontId="11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 applyProtection="1">
      <alignment horizontal="right"/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173" fontId="31" fillId="2" borderId="1" xfId="0" applyNumberFormat="1" applyFont="1" applyFill="1" applyBorder="1" applyAlignment="1" applyProtection="1">
      <alignment horizontal="right"/>
      <protection locked="0"/>
    </xf>
    <xf numFmtId="169" fontId="31" fillId="0" borderId="10" xfId="0" applyNumberFormat="1" applyFont="1" applyFill="1" applyBorder="1" applyProtection="1">
      <protection locked="0"/>
    </xf>
    <xf numFmtId="169" fontId="33" fillId="0" borderId="1" xfId="0" applyNumberFormat="1" applyFont="1" applyFill="1" applyBorder="1" applyProtection="1">
      <protection locked="0"/>
    </xf>
    <xf numFmtId="166" fontId="28" fillId="2" borderId="10" xfId="0" applyNumberFormat="1" applyFont="1" applyFill="1" applyBorder="1" applyAlignment="1" applyProtection="1">
      <alignment horizontal="right"/>
      <protection locked="0"/>
    </xf>
    <xf numFmtId="166" fontId="31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horizontal="center"/>
    </xf>
    <xf numFmtId="172" fontId="38" fillId="0" borderId="11" xfId="0" applyNumberFormat="1" applyFont="1" applyFill="1" applyBorder="1" applyAlignment="1">
      <alignment horizontal="center" vertical="center"/>
    </xf>
    <xf numFmtId="17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1" xfId="0" applyNumberFormat="1" applyFont="1" applyFill="1" applyBorder="1" applyAlignment="1" applyProtection="1">
      <alignment horizontal="right"/>
      <protection locked="0"/>
    </xf>
    <xf numFmtId="0" fontId="33" fillId="0" borderId="2" xfId="0" applyFont="1" applyBorder="1"/>
    <xf numFmtId="172" fontId="38" fillId="0" borderId="3" xfId="0" applyNumberFormat="1" applyFont="1" applyFill="1" applyBorder="1" applyAlignment="1">
      <alignment horizontal="center" vertical="center"/>
    </xf>
    <xf numFmtId="1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167" fontId="33" fillId="0" borderId="10" xfId="0" applyNumberFormat="1" applyFont="1" applyFill="1" applyBorder="1" applyAlignment="1">
      <alignment horizontal="right" vertical="center" wrapText="1"/>
    </xf>
    <xf numFmtId="167" fontId="31" fillId="2" borderId="1" xfId="0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2" fontId="31" fillId="2" borderId="1" xfId="0" applyNumberFormat="1" applyFont="1" applyFill="1" applyBorder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8" fontId="31" fillId="2" borderId="1" xfId="0" applyNumberFormat="1" applyFont="1" applyFill="1" applyBorder="1" applyProtection="1"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2" xfId="0" applyNumberFormat="1" applyFont="1" applyFill="1" applyBorder="1" applyProtection="1"/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40" fillId="2" borderId="10" xfId="0" applyNumberFormat="1" applyFont="1" applyFill="1" applyBorder="1" applyAlignment="1" applyProtection="1">
      <alignment horizontal="right"/>
      <protection locked="0"/>
    </xf>
    <xf numFmtId="167" fontId="41" fillId="0" borderId="0" xfId="0" applyNumberFormat="1" applyFont="1" applyFill="1" applyBorder="1" applyAlignment="1" applyProtection="1">
      <alignment horizontal="right" vertical="center" wrapText="1"/>
    </xf>
    <xf numFmtId="167" fontId="41" fillId="0" borderId="0" xfId="0" applyNumberFormat="1" applyFont="1" applyFill="1" applyBorder="1"/>
    <xf numFmtId="167" fontId="43" fillId="0" borderId="0" xfId="0" applyNumberFormat="1" applyFont="1" applyFill="1" applyBorder="1"/>
    <xf numFmtId="169" fontId="42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41" fillId="0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40" fillId="2" borderId="10" xfId="0" applyNumberFormat="1" applyFont="1" applyFill="1" applyBorder="1" applyProtection="1">
      <protection locked="0"/>
    </xf>
    <xf numFmtId="167" fontId="43" fillId="0" borderId="10" xfId="0" applyNumberFormat="1" applyFont="1" applyFill="1" applyBorder="1"/>
    <xf numFmtId="10" fontId="40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Protection="1">
      <protection locked="0"/>
    </xf>
    <xf numFmtId="0" fontId="40" fillId="0" borderId="0" xfId="0" applyFont="1"/>
    <xf numFmtId="0" fontId="40" fillId="0" borderId="2" xfId="0" applyFont="1" applyBorder="1"/>
    <xf numFmtId="172" fontId="46" fillId="0" borderId="18" xfId="0" applyNumberFormat="1" applyFont="1" applyFill="1" applyBorder="1" applyAlignment="1">
      <alignment horizontal="center" vertical="center"/>
    </xf>
    <xf numFmtId="0" fontId="40" fillId="0" borderId="3" xfId="0" applyFont="1" applyBorder="1"/>
    <xf numFmtId="0" fontId="47" fillId="0" borderId="1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9" fontId="42" fillId="0" borderId="12" xfId="0" applyNumberFormat="1" applyFont="1" applyFill="1" applyBorder="1" applyProtection="1"/>
    <xf numFmtId="169" fontId="41" fillId="0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6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2" fontId="4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167" fontId="8" fillId="0" borderId="0" xfId="0" applyNumberFormat="1" applyFont="1" applyFill="1" applyProtection="1">
      <protection locked="0"/>
    </xf>
    <xf numFmtId="0" fontId="0" fillId="0" borderId="0" xfId="0" applyFill="1"/>
    <xf numFmtId="0" fontId="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9" fillId="0" borderId="0" xfId="0" applyFont="1" applyFill="1" applyBorder="1"/>
    <xf numFmtId="9" fontId="0" fillId="0" borderId="0" xfId="1" applyFont="1" applyFill="1" applyProtection="1">
      <protection locked="0"/>
    </xf>
    <xf numFmtId="0" fontId="4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5" fillId="0" borderId="0" xfId="0" applyFont="1" applyAlignment="1">
      <alignment horizontal="center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0" xfId="0" applyNumberFormat="1" applyFont="1" applyBorder="1"/>
    <xf numFmtId="0" fontId="43" fillId="0" borderId="0" xfId="0" applyFont="1" applyAlignment="1">
      <alignment horizontal="center"/>
    </xf>
    <xf numFmtId="170" fontId="42" fillId="0" borderId="0" xfId="0" applyNumberFormat="1" applyFont="1" applyBorder="1"/>
    <xf numFmtId="170" fontId="42" fillId="0" borderId="0" xfId="0" applyNumberFormat="1" applyFont="1"/>
    <xf numFmtId="0" fontId="41" fillId="0" borderId="0" xfId="0" applyFont="1"/>
    <xf numFmtId="167" fontId="41" fillId="0" borderId="0" xfId="0" applyNumberFormat="1" applyFont="1"/>
    <xf numFmtId="167" fontId="42" fillId="0" borderId="0" xfId="0" applyNumberFormat="1" applyFont="1"/>
    <xf numFmtId="0" fontId="42" fillId="0" borderId="0" xfId="0" applyFont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1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/>
      <protection locked="0"/>
    </xf>
    <xf numFmtId="3" fontId="40" fillId="2" borderId="10" xfId="0" applyNumberFormat="1" applyFont="1" applyFill="1" applyBorder="1"/>
    <xf numFmtId="3" fontId="40" fillId="2" borderId="10" xfId="0" applyNumberFormat="1" applyFont="1" applyFill="1" applyBorder="1" applyProtection="1">
      <protection locked="0"/>
    </xf>
    <xf numFmtId="3" fontId="40" fillId="2" borderId="10" xfId="0" applyNumberFormat="1" applyFont="1" applyFill="1" applyBorder="1" applyAlignment="1">
      <alignment horizontal="right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12" fillId="2" borderId="3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/>
    <xf numFmtId="3" fontId="12" fillId="2" borderId="1" xfId="0" applyNumberFormat="1" applyFont="1" applyFill="1" applyBorder="1"/>
    <xf numFmtId="3" fontId="31" fillId="2" borderId="1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12" fillId="2" borderId="10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3" fontId="33" fillId="0" borderId="10" xfId="0" applyNumberFormat="1" applyFont="1" applyFill="1" applyBorder="1" applyAlignment="1" applyProtection="1">
      <alignment horizontal="right"/>
      <protection locked="0"/>
    </xf>
    <xf numFmtId="3" fontId="31" fillId="0" borderId="10" xfId="0" applyNumberFormat="1" applyFont="1" applyFill="1" applyBorder="1" applyAlignment="1" applyProtection="1">
      <alignment horizontal="right"/>
      <protection locked="0"/>
    </xf>
    <xf numFmtId="3" fontId="33" fillId="0" borderId="1" xfId="0" applyNumberFormat="1" applyFont="1" applyFill="1" applyBorder="1" applyAlignment="1" applyProtection="1">
      <alignment horizontal="right"/>
      <protection locked="0"/>
    </xf>
    <xf numFmtId="3" fontId="31" fillId="0" borderId="1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174" fontId="3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/>
    </xf>
    <xf numFmtId="167" fontId="41" fillId="0" borderId="1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5" fillId="0" borderId="0" xfId="0" applyFont="1" applyAlignment="1">
      <alignment horizontal="center"/>
    </xf>
    <xf numFmtId="169" fontId="51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/>
      <protection locked="0"/>
    </xf>
    <xf numFmtId="175" fontId="31" fillId="2" borderId="10" xfId="1" applyNumberFormat="1" applyFont="1" applyFill="1" applyBorder="1" applyAlignment="1">
      <alignment horizontal="right"/>
    </xf>
    <xf numFmtId="175" fontId="4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5" fillId="0" borderId="0" xfId="0" applyFont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2" fontId="40" fillId="0" borderId="12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0" fillId="0" borderId="10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167" fontId="40" fillId="0" borderId="0" xfId="0" applyNumberFormat="1" applyFont="1"/>
    <xf numFmtId="170" fontId="40" fillId="0" borderId="0" xfId="0" applyNumberFormat="1" applyFont="1"/>
    <xf numFmtId="171" fontId="55" fillId="0" borderId="0" xfId="0" applyNumberFormat="1" applyFont="1"/>
    <xf numFmtId="167" fontId="51" fillId="0" borderId="0" xfId="0" applyNumberFormat="1" applyFont="1"/>
    <xf numFmtId="0" fontId="5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2" fontId="50" fillId="0" borderId="6" xfId="0" applyNumberFormat="1" applyFont="1" applyFill="1" applyBorder="1" applyAlignment="1">
      <alignment horizontal="center" vertical="center"/>
    </xf>
    <xf numFmtId="172" fontId="50" fillId="0" borderId="5" xfId="0" applyNumberFormat="1" applyFont="1" applyFill="1" applyBorder="1" applyAlignment="1">
      <alignment horizontal="center" vertical="center"/>
    </xf>
    <xf numFmtId="170" fontId="51" fillId="0" borderId="0" xfId="0" applyNumberFormat="1" applyFont="1" applyBorder="1"/>
    <xf numFmtId="170" fontId="51" fillId="0" borderId="0" xfId="0" applyNumberFormat="1" applyFont="1"/>
    <xf numFmtId="0" fontId="15" fillId="0" borderId="0" xfId="0" applyFont="1" applyAlignment="1">
      <alignment horizontal="center"/>
    </xf>
    <xf numFmtId="167" fontId="40" fillId="7" borderId="10" xfId="0" applyNumberFormat="1" applyFont="1" applyFill="1" applyBorder="1" applyProtection="1">
      <protection locked="0"/>
    </xf>
    <xf numFmtId="3" fontId="56" fillId="2" borderId="10" xfId="0" applyNumberFormat="1" applyFont="1" applyFill="1" applyBorder="1" applyAlignment="1">
      <alignment horizontal="right"/>
    </xf>
    <xf numFmtId="175" fontId="56" fillId="2" borderId="10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9" fontId="42" fillId="0" borderId="0" xfId="0" applyNumberFormat="1" applyFont="1" applyFill="1" applyBorder="1" applyProtection="1"/>
    <xf numFmtId="167" fontId="41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6" fillId="2" borderId="10" xfId="0" applyNumberFormat="1" applyFont="1" applyFill="1" applyBorder="1" applyProtection="1">
      <protection locked="0"/>
    </xf>
    <xf numFmtId="172" fontId="7" fillId="0" borderId="25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2" borderId="8" xfId="0" applyNumberFormat="1" applyFont="1" applyFill="1" applyBorder="1" applyAlignment="1" applyProtection="1">
      <alignment horizontal="right"/>
      <protection locked="0"/>
    </xf>
    <xf numFmtId="167" fontId="11" fillId="0" borderId="1" xfId="0" applyNumberFormat="1" applyFont="1" applyFill="1" applyBorder="1"/>
    <xf numFmtId="167" fontId="11" fillId="0" borderId="4" xfId="0" applyNumberFormat="1" applyFont="1" applyFill="1" applyBorder="1"/>
    <xf numFmtId="167" fontId="11" fillId="2" borderId="4" xfId="0" applyNumberFormat="1" applyFont="1" applyFill="1" applyBorder="1" applyAlignment="1">
      <alignment horizontal="right"/>
    </xf>
    <xf numFmtId="167" fontId="11" fillId="2" borderId="5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72" fontId="46" fillId="0" borderId="26" xfId="0" applyNumberFormat="1" applyFont="1" applyFill="1" applyBorder="1" applyAlignment="1">
      <alignment horizontal="center" vertical="center"/>
    </xf>
    <xf numFmtId="172" fontId="46" fillId="0" borderId="27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/>
    <xf numFmtId="167" fontId="11" fillId="0" borderId="8" xfId="0" applyNumberFormat="1" applyFont="1" applyFill="1" applyBorder="1"/>
    <xf numFmtId="10" fontId="11" fillId="2" borderId="1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>
      <alignment horizontal="right"/>
    </xf>
    <xf numFmtId="167" fontId="11" fillId="2" borderId="4" xfId="0" applyNumberFormat="1" applyFont="1" applyFill="1" applyBorder="1" applyProtection="1">
      <protection locked="0"/>
    </xf>
    <xf numFmtId="167" fontId="11" fillId="2" borderId="5" xfId="0" applyNumberFormat="1" applyFont="1" applyFill="1" applyBorder="1" applyProtection="1">
      <protection locked="0"/>
    </xf>
    <xf numFmtId="0" fontId="7" fillId="0" borderId="2" xfId="0" applyFont="1" applyFill="1" applyBorder="1"/>
    <xf numFmtId="0" fontId="7" fillId="0" borderId="8" xfId="0" applyFont="1" applyFill="1" applyBorder="1"/>
    <xf numFmtId="10" fontId="11" fillId="0" borderId="1" xfId="0" applyNumberFormat="1" applyFont="1" applyFill="1" applyBorder="1" applyAlignment="1" applyProtection="1">
      <alignment horizontal="right"/>
      <protection locked="0"/>
    </xf>
    <xf numFmtId="10" fontId="11" fillId="0" borderId="4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169" fontId="40" fillId="0" borderId="10" xfId="0" applyNumberFormat="1" applyFont="1" applyFill="1" applyBorder="1" applyProtection="1">
      <protection locked="0"/>
    </xf>
    <xf numFmtId="169" fontId="41" fillId="0" borderId="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167" fontId="6" fillId="2" borderId="10" xfId="0" applyNumberFormat="1" applyFont="1" applyFill="1" applyBorder="1" applyAlignment="1" applyProtection="1">
      <alignment horizontal="right"/>
      <protection locked="0"/>
    </xf>
    <xf numFmtId="2" fontId="41" fillId="3" borderId="15" xfId="0" applyNumberFormat="1" applyFont="1" applyFill="1" applyBorder="1" applyAlignment="1" applyProtection="1">
      <alignment horizontal="right"/>
    </xf>
    <xf numFmtId="172" fontId="50" fillId="0" borderId="11" xfId="0" applyNumberFormat="1" applyFont="1" applyFill="1" applyBorder="1" applyAlignment="1">
      <alignment horizontal="center" vertical="center"/>
    </xf>
    <xf numFmtId="17" fontId="4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Protection="1">
      <protection locked="0"/>
    </xf>
    <xf numFmtId="175" fontId="6" fillId="2" borderId="10" xfId="1" applyNumberFormat="1" applyFont="1" applyFill="1" applyBorder="1" applyAlignment="1">
      <alignment horizontal="right"/>
    </xf>
    <xf numFmtId="2" fontId="6" fillId="2" borderId="10" xfId="0" applyNumberFormat="1" applyFont="1" applyFill="1" applyBorder="1" applyProtection="1">
      <protection locked="0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167" fontId="40" fillId="2" borderId="1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7" fontId="41" fillId="0" borderId="0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Border="1" applyAlignment="1">
      <alignment horizontal="center" vertical="center" wrapText="1"/>
    </xf>
    <xf numFmtId="172" fontId="7" fillId="0" borderId="7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17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167" fontId="41" fillId="0" borderId="2" xfId="0" applyNumberFormat="1" applyFont="1" applyFill="1" applyBorder="1" applyAlignment="1">
      <alignment horizontal="right" vertical="center" wrapText="1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167" fontId="40" fillId="0" borderId="1" xfId="0" applyNumberFormat="1" applyFont="1" applyFill="1" applyBorder="1" applyAlignment="1" applyProtection="1">
      <alignment horizontal="right"/>
      <protection locked="0"/>
    </xf>
    <xf numFmtId="167" fontId="41" fillId="0" borderId="1" xfId="0" applyNumberFormat="1" applyFont="1" applyFill="1" applyBorder="1"/>
    <xf numFmtId="3" fontId="40" fillId="2" borderId="1" xfId="0" applyNumberFormat="1" applyFont="1" applyFill="1" applyBorder="1"/>
    <xf numFmtId="3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167" fontId="40" fillId="7" borderId="1" xfId="0" applyNumberFormat="1" applyFont="1" applyFill="1" applyBorder="1" applyProtection="1">
      <protection locked="0"/>
    </xf>
    <xf numFmtId="167" fontId="43" fillId="0" borderId="1" xfId="0" applyNumberFormat="1" applyFont="1" applyFill="1" applyBorder="1"/>
    <xf numFmtId="3" fontId="40" fillId="2" borderId="1" xfId="0" applyNumberFormat="1" applyFont="1" applyFill="1" applyBorder="1" applyAlignment="1">
      <alignment horizontal="right"/>
    </xf>
    <xf numFmtId="175" fontId="40" fillId="2" borderId="1" xfId="1" applyNumberFormat="1" applyFont="1" applyFill="1" applyBorder="1" applyAlignment="1">
      <alignment horizontal="right"/>
    </xf>
    <xf numFmtId="169" fontId="41" fillId="0" borderId="1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1" fillId="0" borderId="12" xfId="0" applyFont="1" applyFill="1" applyBorder="1" applyAlignment="1">
      <alignment horizontal="center" vertical="center" wrapText="1"/>
    </xf>
    <xf numFmtId="169" fontId="42" fillId="0" borderId="4" xfId="0" applyNumberFormat="1" applyFont="1" applyFill="1" applyBorder="1" applyProtection="1"/>
    <xf numFmtId="167" fontId="41" fillId="0" borderId="4" xfId="0" applyNumberFormat="1" applyFont="1" applyFill="1" applyBorder="1" applyAlignment="1" applyProtection="1">
      <alignment horizontal="right" vertical="center" wrapText="1"/>
    </xf>
    <xf numFmtId="167" fontId="41" fillId="0" borderId="4" xfId="0" applyNumberFormat="1" applyFont="1" applyFill="1" applyBorder="1" applyAlignment="1" applyProtection="1">
      <alignment horizontal="right"/>
      <protection locked="0"/>
    </xf>
    <xf numFmtId="167" fontId="41" fillId="0" borderId="4" xfId="0" applyNumberFormat="1" applyFont="1" applyFill="1" applyBorder="1"/>
    <xf numFmtId="167" fontId="43" fillId="0" borderId="4" xfId="0" applyNumberFormat="1" applyFont="1" applyFill="1" applyBorder="1"/>
    <xf numFmtId="10" fontId="6" fillId="2" borderId="1" xfId="0" applyNumberFormat="1" applyFont="1" applyFill="1" applyBorder="1" applyProtection="1">
      <protection locked="0"/>
    </xf>
    <xf numFmtId="169" fontId="41" fillId="0" borderId="4" xfId="0" applyNumberFormat="1" applyFont="1" applyFill="1" applyBorder="1" applyProtection="1">
      <protection locked="0"/>
    </xf>
    <xf numFmtId="2" fontId="41" fillId="3" borderId="24" xfId="0" applyNumberFormat="1" applyFont="1" applyFill="1" applyBorder="1" applyAlignment="1" applyProtection="1">
      <alignment horizontal="right"/>
    </xf>
    <xf numFmtId="2" fontId="6" fillId="0" borderId="7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2" fontId="6" fillId="3" borderId="6" xfId="0" applyNumberFormat="1" applyFont="1" applyFill="1" applyBorder="1" applyAlignment="1" applyProtection="1">
      <alignment horizontal="right"/>
    </xf>
    <xf numFmtId="2" fontId="6" fillId="0" borderId="8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3" borderId="5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72" fontId="7" fillId="0" borderId="36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2" borderId="0" xfId="0" applyNumberFormat="1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2" fontId="41" fillId="0" borderId="2" xfId="0" applyNumberFormat="1" applyFont="1" applyFill="1" applyBorder="1" applyAlignment="1" applyProtection="1">
      <alignment horizontal="right"/>
    </xf>
    <xf numFmtId="3" fontId="6" fillId="2" borderId="10" xfId="0" applyNumberFormat="1" applyFont="1" applyFill="1" applyBorder="1"/>
    <xf numFmtId="3" fontId="6" fillId="2" borderId="10" xfId="0" applyNumberFormat="1" applyFont="1" applyFill="1" applyBorder="1" applyProtection="1">
      <protection locked="0"/>
    </xf>
    <xf numFmtId="167" fontId="6" fillId="7" borderId="10" xfId="0" applyNumberFormat="1" applyFont="1" applyFill="1" applyBorder="1" applyProtection="1">
      <protection locked="0"/>
    </xf>
    <xf numFmtId="2" fontId="6" fillId="0" borderId="12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0" xfId="0" applyNumberFormat="1" applyFont="1" applyFill="1" applyBorder="1" applyAlignment="1" applyProtection="1">
      <alignment horizontal="right"/>
      <protection locked="0"/>
    </xf>
    <xf numFmtId="167" fontId="40" fillId="0" borderId="0" xfId="0" applyNumberFormat="1" applyFont="1" applyFill="1" applyBorder="1" applyAlignment="1" applyProtection="1">
      <alignment horizontal="right"/>
      <protection locked="0"/>
    </xf>
    <xf numFmtId="3" fontId="40" fillId="2" borderId="0" xfId="0" applyNumberFormat="1" applyFont="1" applyFill="1" applyBorder="1"/>
    <xf numFmtId="3" fontId="40" fillId="2" borderId="0" xfId="0" applyNumberFormat="1" applyFont="1" applyFill="1" applyBorder="1" applyProtection="1">
      <protection locked="0"/>
    </xf>
    <xf numFmtId="167" fontId="40" fillId="2" borderId="0" xfId="0" applyNumberFormat="1" applyFont="1" applyFill="1" applyBorder="1" applyAlignment="1" applyProtection="1">
      <alignment horizontal="right"/>
      <protection locked="0"/>
    </xf>
    <xf numFmtId="167" fontId="40" fillId="2" borderId="0" xfId="0" applyNumberFormat="1" applyFont="1" applyFill="1" applyBorder="1" applyProtection="1">
      <protection locked="0"/>
    </xf>
    <xf numFmtId="167" fontId="40" fillId="7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>
      <alignment horizontal="right"/>
    </xf>
    <xf numFmtId="175" fontId="40" fillId="2" borderId="0" xfId="1" applyNumberFormat="1" applyFont="1" applyFill="1" applyBorder="1" applyAlignment="1">
      <alignment horizontal="right"/>
    </xf>
    <xf numFmtId="2" fontId="40" fillId="2" borderId="0" xfId="0" applyNumberFormat="1" applyFont="1" applyFill="1" applyBorder="1" applyProtection="1">
      <protection locked="0"/>
    </xf>
    <xf numFmtId="2" fontId="40" fillId="2" borderId="0" xfId="0" applyNumberFormat="1" applyFont="1" applyFill="1" applyBorder="1" applyAlignment="1" applyProtection="1">
      <alignment horizontal="right"/>
      <protection locked="0"/>
    </xf>
    <xf numFmtId="3" fontId="6" fillId="7" borderId="10" xfId="0" applyNumberFormat="1" applyFont="1" applyFill="1" applyBorder="1" applyAlignment="1" applyProtection="1">
      <alignment horizontal="right"/>
      <protection locked="0"/>
    </xf>
    <xf numFmtId="175" fontId="6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2" fontId="7" fillId="0" borderId="8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/>
      <protection locked="0"/>
    </xf>
    <xf numFmtId="175" fontId="6" fillId="7" borderId="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10" fontId="6" fillId="7" borderId="0" xfId="0" applyNumberFormat="1" applyFont="1" applyFill="1" applyBorder="1" applyProtection="1">
      <protection locked="0"/>
    </xf>
    <xf numFmtId="10" fontId="6" fillId="7" borderId="10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" fontId="4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1" fillId="29" borderId="1" xfId="0" applyFont="1" applyFill="1" applyBorder="1"/>
    <xf numFmtId="10" fontId="33" fillId="29" borderId="10" xfId="0" applyNumberFormat="1" applyFont="1" applyFill="1" applyBorder="1" applyAlignment="1" applyProtection="1">
      <alignment horizontal="right"/>
      <protection locked="0"/>
    </xf>
    <xf numFmtId="10" fontId="33" fillId="29" borderId="1" xfId="0" applyNumberFormat="1" applyFont="1" applyFill="1" applyBorder="1" applyAlignment="1" applyProtection="1">
      <alignment horizontal="right"/>
      <protection locked="0"/>
    </xf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1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1" fillId="2" borderId="4" xfId="0" applyNumberFormat="1" applyFont="1" applyFill="1" applyBorder="1" applyAlignment="1" applyProtection="1">
      <alignment horizontal="right"/>
      <protection locked="0"/>
    </xf>
    <xf numFmtId="10" fontId="40" fillId="2" borderId="4" xfId="1" applyNumberFormat="1" applyFont="1" applyFill="1" applyBorder="1" applyAlignment="1" applyProtection="1">
      <alignment horizontal="right"/>
      <protection locked="0"/>
    </xf>
    <xf numFmtId="10" fontId="40" fillId="29" borderId="4" xfId="1" applyNumberFormat="1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4"/>
    </xf>
    <xf numFmtId="3" fontId="1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left"/>
    </xf>
    <xf numFmtId="173" fontId="6" fillId="2" borderId="4" xfId="0" applyNumberFormat="1" applyFont="1" applyFill="1" applyBorder="1" applyAlignment="1" applyProtection="1">
      <alignment horizontal="right"/>
      <protection locked="0"/>
    </xf>
    <xf numFmtId="10" fontId="41" fillId="29" borderId="4" xfId="0" applyNumberFormat="1" applyFont="1" applyFill="1" applyBorder="1" applyAlignment="1" applyProtection="1">
      <alignment horizontal="right"/>
      <protection locked="0"/>
    </xf>
    <xf numFmtId="3" fontId="6" fillId="7" borderId="4" xfId="0" applyNumberFormat="1" applyFont="1" applyFill="1" applyBorder="1" applyAlignment="1" applyProtection="1">
      <alignment horizontal="right"/>
      <protection locked="0"/>
    </xf>
    <xf numFmtId="10" fontId="6" fillId="7" borderId="4" xfId="0" applyNumberFormat="1" applyFont="1" applyFill="1" applyBorder="1" applyProtection="1">
      <protection locked="0"/>
    </xf>
    <xf numFmtId="175" fontId="6" fillId="7" borderId="4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41" fillId="0" borderId="8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5" fillId="0" borderId="10" xfId="0" applyFont="1" applyFill="1" applyBorder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1" fillId="29" borderId="4" xfId="0" applyFont="1" applyFill="1" applyBorder="1"/>
    <xf numFmtId="168" fontId="31" fillId="29" borderId="10" xfId="0" applyNumberFormat="1" applyFont="1" applyFill="1" applyBorder="1" applyProtection="1">
      <protection locked="0"/>
    </xf>
    <xf numFmtId="168" fontId="12" fillId="29" borderId="1" xfId="0" applyNumberFormat="1" applyFont="1" applyFill="1" applyBorder="1" applyProtection="1">
      <protection locked="0"/>
    </xf>
    <xf numFmtId="168" fontId="31" fillId="29" borderId="1" xfId="0" applyNumberFormat="1" applyFont="1" applyFill="1" applyBorder="1" applyProtection="1">
      <protection locked="0"/>
    </xf>
    <xf numFmtId="168" fontId="40" fillId="29" borderId="1" xfId="0" applyNumberFormat="1" applyFont="1" applyFill="1" applyBorder="1" applyProtection="1">
      <protection locked="0"/>
    </xf>
    <xf numFmtId="168" fontId="40" fillId="29" borderId="10" xfId="0" applyNumberFormat="1" applyFont="1" applyFill="1" applyBorder="1" applyProtection="1">
      <protection locked="0"/>
    </xf>
    <xf numFmtId="168" fontId="6" fillId="29" borderId="10" xfId="0" applyNumberFormat="1" applyFont="1" applyFill="1" applyBorder="1" applyProtection="1">
      <protection locked="0"/>
    </xf>
    <xf numFmtId="168" fontId="40" fillId="29" borderId="0" xfId="0" applyNumberFormat="1" applyFont="1" applyFill="1" applyBorder="1" applyProtection="1">
      <protection locked="0"/>
    </xf>
    <xf numFmtId="168" fontId="6" fillId="29" borderId="1" xfId="0" applyNumberFormat="1" applyFont="1" applyFill="1" applyBorder="1" applyProtection="1">
      <protection locked="0"/>
    </xf>
    <xf numFmtId="168" fontId="6" fillId="29" borderId="0" xfId="0" applyNumberFormat="1" applyFont="1" applyFill="1" applyBorder="1" applyProtection="1">
      <protection locked="0"/>
    </xf>
    <xf numFmtId="168" fontId="6" fillId="29" borderId="4" xfId="0" applyNumberFormat="1" applyFont="1" applyFill="1" applyBorder="1" applyProtection="1">
      <protection locked="0"/>
    </xf>
    <xf numFmtId="17" fontId="4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11" fillId="0" borderId="4" xfId="0" applyFont="1" applyFill="1" applyBorder="1" applyAlignment="1" applyProtection="1">
      <alignment horizontal="left" inden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4" xfId="0" applyNumberFormat="1" applyFont="1" applyFill="1" applyBorder="1" applyAlignment="1" applyProtection="1">
      <alignment horizontal="right"/>
      <protection locked="0"/>
    </xf>
    <xf numFmtId="3" fontId="40" fillId="7" borderId="4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175" fontId="41" fillId="7" borderId="0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>
      <alignment horizontal="center"/>
    </xf>
    <xf numFmtId="2" fontId="6" fillId="2" borderId="4" xfId="1" applyNumberFormat="1" applyFont="1" applyFill="1" applyBorder="1" applyAlignment="1">
      <alignment horizontal="right" vertical="center" wrapText="1"/>
    </xf>
    <xf numFmtId="2" fontId="79" fillId="2" borderId="4" xfId="1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/>
    </xf>
    <xf numFmtId="2" fontId="6" fillId="29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Alignment="1">
      <alignment horizontal="right"/>
    </xf>
    <xf numFmtId="2" fontId="6" fillId="2" borderId="5" xfId="1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>
      <alignment horizontal="right"/>
    </xf>
    <xf numFmtId="2" fontId="11" fillId="2" borderId="4" xfId="64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 vertical="center" wrapText="1"/>
    </xf>
    <xf numFmtId="2" fontId="11" fillId="2" borderId="5" xfId="1" applyNumberFormat="1" applyFont="1" applyFill="1" applyBorder="1" applyAlignment="1">
      <alignment horizontal="right" vertical="center" wrapText="1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11" fillId="2" borderId="4" xfId="64" applyNumberFormat="1" applyFont="1" applyFill="1" applyBorder="1" applyAlignment="1" applyProtection="1">
      <alignment horizontal="right"/>
      <protection locked="0"/>
    </xf>
    <xf numFmtId="2" fontId="11" fillId="2" borderId="10" xfId="64" applyNumberFormat="1" applyFont="1" applyFill="1" applyBorder="1" applyAlignment="1" applyProtection="1">
      <alignment horizontal="right"/>
      <protection locked="0"/>
    </xf>
    <xf numFmtId="2" fontId="40" fillId="2" borderId="4" xfId="1" applyNumberFormat="1" applyFont="1" applyFill="1" applyBorder="1" applyAlignment="1" applyProtection="1">
      <alignment horizontal="right"/>
      <protection locked="0"/>
    </xf>
    <xf numFmtId="2" fontId="40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 applyProtection="1">
      <alignment horizontal="right"/>
      <protection locked="0"/>
    </xf>
    <xf numFmtId="2" fontId="40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2" fontId="12" fillId="2" borderId="3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40" fillId="2" borderId="6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7" borderId="11" xfId="0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</xf>
    <xf numFmtId="2" fontId="12" fillId="2" borderId="1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40" fillId="2" borderId="10" xfId="0" applyNumberFormat="1" applyFont="1" applyFill="1" applyBorder="1" applyAlignment="1" applyProtection="1">
      <alignment horizontal="right"/>
    </xf>
    <xf numFmtId="2" fontId="40" fillId="2" borderId="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6" fillId="2" borderId="1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12" fillId="2" borderId="3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40" fillId="2" borderId="11" xfId="0" applyNumberFormat="1" applyFont="1" applyFill="1" applyBorder="1" applyAlignment="1" applyProtection="1">
      <alignment horizontal="right"/>
    </xf>
    <xf numFmtId="2" fontId="40" fillId="2" borderId="6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</xf>
    <xf numFmtId="2" fontId="6" fillId="2" borderId="5" xfId="0" applyNumberFormat="1" applyFont="1" applyFill="1" applyBorder="1" applyAlignment="1" applyProtection="1">
      <alignment horizontal="right"/>
    </xf>
    <xf numFmtId="2" fontId="6" fillId="2" borderId="6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2" fontId="11" fillId="2" borderId="6" xfId="0" applyNumberFormat="1" applyFont="1" applyFill="1" applyBorder="1" applyProtection="1">
      <protection locked="0"/>
    </xf>
    <xf numFmtId="10" fontId="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>
      <alignment horizontal="right"/>
    </xf>
    <xf numFmtId="2" fontId="12" fillId="2" borderId="10" xfId="1" applyNumberFormat="1" applyFont="1" applyFill="1" applyBorder="1" applyAlignment="1">
      <alignment horizontal="right"/>
    </xf>
    <xf numFmtId="2" fontId="12" fillId="2" borderId="1" xfId="1" applyNumberFormat="1" applyFont="1" applyFill="1" applyBorder="1" applyAlignment="1">
      <alignment horizontal="right"/>
    </xf>
    <xf numFmtId="2" fontId="31" fillId="2" borderId="1" xfId="1" applyNumberFormat="1" applyFont="1" applyFill="1" applyBorder="1" applyAlignment="1">
      <alignment horizontal="right"/>
    </xf>
    <xf numFmtId="2" fontId="40" fillId="2" borderId="10" xfId="1" applyNumberFormat="1" applyFont="1" applyFill="1" applyBorder="1" applyAlignment="1">
      <alignment horizontal="right"/>
    </xf>
    <xf numFmtId="2" fontId="56" fillId="2" borderId="10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40" fillId="2" borderId="1" xfId="1" applyNumberFormat="1" applyFont="1" applyFill="1" applyBorder="1" applyAlignment="1">
      <alignment horizontal="right"/>
    </xf>
    <xf numFmtId="2" fontId="40" fillId="2" borderId="0" xfId="1" applyNumberFormat="1" applyFont="1" applyFill="1" applyBorder="1" applyAlignment="1">
      <alignment horizontal="right"/>
    </xf>
    <xf numFmtId="2" fontId="6" fillId="7" borderId="10" xfId="1" applyNumberFormat="1" applyFont="1" applyFill="1" applyBorder="1" applyAlignment="1">
      <alignment horizontal="right"/>
    </xf>
    <xf numFmtId="2" fontId="6" fillId="7" borderId="0" xfId="1" applyNumberFormat="1" applyFont="1" applyFill="1" applyBorder="1" applyAlignment="1">
      <alignment horizontal="right"/>
    </xf>
    <xf numFmtId="2" fontId="6" fillId="7" borderId="4" xfId="1" applyNumberFormat="1" applyFont="1" applyFill="1" applyBorder="1" applyAlignment="1">
      <alignment horizontal="right"/>
    </xf>
    <xf numFmtId="172" fontId="7" fillId="0" borderId="2" xfId="0" applyNumberFormat="1" applyFont="1" applyFill="1" applyBorder="1" applyAlignment="1">
      <alignment horizontal="center" vertical="center"/>
    </xf>
    <xf numFmtId="172" fontId="46" fillId="0" borderId="3" xfId="0" applyNumberFormat="1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1" fillId="7" borderId="4" xfId="1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2" fontId="11" fillId="2" borderId="10" xfId="1" applyNumberFormat="1" applyFont="1" applyFill="1" applyBorder="1" applyAlignment="1">
      <alignment horizontal="right"/>
    </xf>
    <xf numFmtId="2" fontId="11" fillId="2" borderId="1" xfId="1" applyNumberFormat="1" applyFont="1" applyFill="1" applyBorder="1" applyAlignment="1">
      <alignment horizontal="right"/>
    </xf>
    <xf numFmtId="2" fontId="11" fillId="2" borderId="0" xfId="1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/>
    </xf>
    <xf numFmtId="3" fontId="11" fillId="2" borderId="1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>
      <alignment horizontal="right"/>
    </xf>
    <xf numFmtId="3" fontId="40" fillId="29" borderId="1" xfId="0" applyNumberFormat="1" applyFont="1" applyFill="1" applyBorder="1" applyAlignment="1" applyProtection="1">
      <alignment horizontal="right"/>
      <protection locked="0"/>
    </xf>
    <xf numFmtId="3" fontId="40" fillId="0" borderId="2" xfId="0" applyNumberFormat="1" applyFont="1" applyFill="1" applyBorder="1" applyAlignment="1" applyProtection="1">
      <alignment horizontal="right"/>
    </xf>
    <xf numFmtId="3" fontId="40" fillId="3" borderId="1" xfId="0" applyNumberFormat="1" applyFont="1" applyFill="1" applyBorder="1" applyAlignment="1" applyProtection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Protection="1"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 vertical="center" wrapText="1"/>
    </xf>
    <xf numFmtId="2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1" xfId="0" applyNumberFormat="1" applyFont="1" applyFill="1" applyBorder="1" applyAlignment="1" applyProtection="1">
      <alignment horizontal="right" vertical="center" wrapText="1"/>
    </xf>
    <xf numFmtId="2" fontId="11" fillId="2" borderId="6" xfId="0" applyNumberFormat="1" applyFont="1" applyFill="1" applyBorder="1" applyAlignment="1" applyProtection="1">
      <alignment horizontal="right"/>
      <protection locked="0"/>
    </xf>
    <xf numFmtId="2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/>
    <xf numFmtId="3" fontId="11" fillId="2" borderId="1" xfId="0" applyNumberFormat="1" applyFont="1" applyFill="1" applyBorder="1"/>
    <xf numFmtId="3" fontId="11" fillId="2" borderId="0" xfId="0" applyNumberFormat="1" applyFont="1" applyFill="1" applyBorder="1"/>
    <xf numFmtId="3" fontId="11" fillId="2" borderId="4" xfId="0" applyNumberFormat="1" applyFont="1" applyFill="1" applyBorder="1"/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0" xfId="64" applyNumberFormat="1" applyFont="1" applyFill="1" applyBorder="1" applyAlignment="1">
      <alignment horizontal="right"/>
    </xf>
    <xf numFmtId="2" fontId="11" fillId="0" borderId="1" xfId="0" applyNumberFormat="1" applyFont="1" applyBorder="1" applyProtection="1"/>
    <xf numFmtId="173" fontId="11" fillId="0" borderId="4" xfId="0" applyNumberFormat="1" applyFont="1" applyFill="1" applyBorder="1" applyAlignment="1" applyProtection="1">
      <alignment vertical="center"/>
    </xf>
    <xf numFmtId="173" fontId="31" fillId="2" borderId="10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40" fillId="2" borderId="10" xfId="0" applyNumberFormat="1" applyFont="1" applyFill="1" applyBorder="1" applyAlignment="1">
      <alignment horizontal="right" vertical="center" wrapText="1"/>
    </xf>
    <xf numFmtId="173" fontId="6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40" fillId="2" borderId="0" xfId="0" applyNumberFormat="1" applyFont="1" applyFill="1" applyBorder="1" applyAlignment="1">
      <alignment horizontal="right" vertical="center" wrapText="1"/>
    </xf>
    <xf numFmtId="173" fontId="6" fillId="2" borderId="0" xfId="0" applyNumberFormat="1" applyFont="1" applyFill="1" applyBorder="1" applyAlignment="1">
      <alignment horizontal="right" vertical="center" wrapText="1"/>
    </xf>
    <xf numFmtId="173" fontId="6" fillId="2" borderId="4" xfId="0" applyNumberFormat="1" applyFont="1" applyFill="1" applyBorder="1" applyAlignment="1">
      <alignment horizontal="right" vertical="center" wrapText="1"/>
    </xf>
    <xf numFmtId="173" fontId="11" fillId="0" borderId="4" xfId="0" applyNumberFormat="1" applyFont="1" applyFill="1" applyBorder="1" applyAlignment="1" applyProtection="1"/>
    <xf numFmtId="173" fontId="31" fillId="2" borderId="11" xfId="0" applyNumberFormat="1" applyFont="1" applyFill="1" applyBorder="1" applyAlignment="1">
      <alignment horizontal="right" vertical="center" wrapText="1"/>
    </xf>
    <xf numFmtId="173" fontId="12" fillId="2" borderId="3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40" fillId="2" borderId="11" xfId="0" applyNumberFormat="1" applyFont="1" applyFill="1" applyBorder="1" applyAlignment="1">
      <alignment horizontal="right" vertical="center" wrapText="1"/>
    </xf>
    <xf numFmtId="173" fontId="6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40" fillId="2" borderId="6" xfId="0" applyNumberFormat="1" applyFont="1" applyFill="1" applyBorder="1" applyAlignment="1">
      <alignment horizontal="right" vertical="center" wrapText="1"/>
    </xf>
    <xf numFmtId="173" fontId="6" fillId="2" borderId="6" xfId="0" applyNumberFormat="1" applyFont="1" applyFill="1" applyBorder="1" applyAlignment="1">
      <alignment horizontal="right" vertical="center" wrapText="1"/>
    </xf>
    <xf numFmtId="173" fontId="6" fillId="2" borderId="5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4" fontId="11" fillId="2" borderId="4" xfId="0" applyNumberFormat="1" applyFont="1" applyFill="1" applyBorder="1"/>
    <xf numFmtId="4" fontId="11" fillId="2" borderId="4" xfId="0" applyNumberFormat="1" applyFont="1" applyFill="1" applyBorder="1" applyProtection="1">
      <protection locked="0"/>
    </xf>
    <xf numFmtId="4" fontId="12" fillId="0" borderId="0" xfId="0" applyNumberFormat="1" applyFont="1"/>
    <xf numFmtId="4" fontId="11" fillId="0" borderId="4" xfId="0" applyNumberFormat="1" applyFont="1" applyFill="1" applyBorder="1" applyAlignment="1">
      <alignment horizontal="left" indent="1"/>
    </xf>
    <xf numFmtId="4" fontId="11" fillId="2" borderId="10" xfId="64" applyNumberFormat="1" applyFont="1" applyFill="1" applyBorder="1" applyAlignment="1">
      <alignment horizontal="right"/>
    </xf>
    <xf numFmtId="4" fontId="11" fillId="2" borderId="1" xfId="64" applyNumberFormat="1" applyFont="1" applyFill="1" applyBorder="1" applyAlignment="1">
      <alignment horizontal="right"/>
    </xf>
    <xf numFmtId="4" fontId="11" fillId="2" borderId="0" xfId="64" applyNumberFormat="1" applyFont="1" applyFill="1" applyBorder="1" applyAlignment="1">
      <alignment horizontal="right"/>
    </xf>
    <xf numFmtId="4" fontId="11" fillId="2" borderId="4" xfId="64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left" indent="4"/>
    </xf>
    <xf numFmtId="2" fontId="11" fillId="2" borderId="5" xfId="0" applyNumberFormat="1" applyFont="1" applyFill="1" applyBorder="1" applyAlignment="1">
      <alignment horizontal="right"/>
    </xf>
    <xf numFmtId="3" fontId="11" fillId="0" borderId="4" xfId="0" applyNumberFormat="1" applyFont="1" applyFill="1" applyBorder="1"/>
    <xf numFmtId="2" fontId="11" fillId="0" borderId="4" xfId="0" applyNumberFormat="1" applyFont="1" applyFill="1" applyBorder="1" applyAlignment="1">
      <alignment horizontal="left" indent="4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3" fontId="40" fillId="2" borderId="11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40" fillId="2" borderId="6" xfId="0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2" fontId="11" fillId="0" borderId="4" xfId="0" applyNumberFormat="1" applyFont="1" applyFill="1" applyBorder="1"/>
    <xf numFmtId="2" fontId="11" fillId="4" borderId="15" xfId="0" applyNumberFormat="1" applyFont="1" applyFill="1" applyBorder="1" applyAlignment="1" applyProtection="1">
      <alignment horizontal="right"/>
      <protection locked="0"/>
    </xf>
    <xf numFmtId="2" fontId="11" fillId="0" borderId="6" xfId="0" applyNumberFormat="1" applyFont="1" applyFill="1" applyBorder="1"/>
    <xf numFmtId="2" fontId="11" fillId="2" borderId="11" xfId="0" applyNumberFormat="1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right"/>
      <protection locked="0"/>
    </xf>
    <xf numFmtId="1" fontId="11" fillId="2" borderId="3" xfId="0" applyNumberFormat="1" applyFont="1" applyFill="1" applyBorder="1" applyAlignment="1" applyProtection="1">
      <alignment horizontal="right"/>
      <protection locked="0"/>
    </xf>
    <xf numFmtId="3" fontId="11" fillId="0" borderId="5" xfId="0" applyNumberFormat="1" applyFont="1" applyFill="1" applyBorder="1"/>
    <xf numFmtId="3" fontId="11" fillId="2" borderId="11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20" fillId="0" borderId="4" xfId="0" applyNumberFormat="1" applyFont="1" applyFill="1" applyBorder="1"/>
    <xf numFmtId="2" fontId="20" fillId="0" borderId="4" xfId="0" applyNumberFormat="1" applyFont="1" applyFill="1" applyBorder="1"/>
    <xf numFmtId="2" fontId="11" fillId="0" borderId="4" xfId="0" applyNumberFormat="1" applyFont="1" applyBorder="1"/>
    <xf numFmtId="2" fontId="11" fillId="0" borderId="5" xfId="0" applyNumberFormat="1" applyFont="1" applyBorder="1"/>
    <xf numFmtId="0" fontId="6" fillId="0" borderId="0" xfId="0" applyFont="1"/>
    <xf numFmtId="0" fontId="21" fillId="0" borderId="12" xfId="0" applyFont="1" applyFill="1" applyBorder="1" applyAlignment="1">
      <alignment horizontal="center" vertical="center" wrapText="1"/>
    </xf>
    <xf numFmtId="168" fontId="41" fillId="29" borderId="7" xfId="0" applyNumberFormat="1" applyFont="1" applyFill="1" applyBorder="1" applyProtection="1">
      <protection locked="0"/>
    </xf>
    <xf numFmtId="17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1" fillId="29" borderId="8" xfId="0" applyNumberFormat="1" applyFont="1" applyFill="1" applyBorder="1" applyProtection="1">
      <protection locked="0"/>
    </xf>
    <xf numFmtId="4" fontId="80" fillId="2" borderId="4" xfId="0" applyNumberFormat="1" applyFont="1" applyFill="1" applyBorder="1" applyProtection="1">
      <protection locked="0"/>
    </xf>
    <xf numFmtId="4" fontId="80" fillId="2" borderId="5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2" fontId="6" fillId="7" borderId="10" xfId="64" applyNumberFormat="1" applyFont="1" applyFill="1" applyBorder="1" applyAlignment="1" applyProtection="1">
      <alignment horizontal="right"/>
      <protection locked="0"/>
    </xf>
    <xf numFmtId="2" fontId="6" fillId="7" borderId="11" xfId="64" applyNumberFormat="1" applyFont="1" applyFill="1" applyBorder="1" applyAlignment="1" applyProtection="1">
      <alignment horizontal="right"/>
      <protection locked="0"/>
    </xf>
    <xf numFmtId="175" fontId="41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Protection="1"/>
    <xf numFmtId="167" fontId="41" fillId="0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Protection="1">
      <protection locked="0"/>
    </xf>
    <xf numFmtId="175" fontId="41" fillId="7" borderId="1" xfId="1" applyNumberFormat="1" applyFont="1" applyFill="1" applyBorder="1" applyAlignment="1">
      <alignment horizontal="right"/>
    </xf>
    <xf numFmtId="2" fontId="41" fillId="3" borderId="23" xfId="0" applyNumberFormat="1" applyFont="1" applyFill="1" applyBorder="1" applyAlignment="1" applyProtection="1">
      <alignment horizontal="right"/>
    </xf>
    <xf numFmtId="168" fontId="41" fillId="29" borderId="2" xfId="0" applyNumberFormat="1" applyFont="1" applyFill="1" applyBorder="1" applyProtection="1">
      <protection locked="0"/>
    </xf>
    <xf numFmtId="2" fontId="6" fillId="0" borderId="2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right"/>
    </xf>
    <xf numFmtId="168" fontId="41" fillId="29" borderId="4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68" fontId="41" fillId="29" borderId="10" xfId="0" applyNumberFormat="1" applyFont="1" applyFill="1" applyBorder="1" applyProtection="1">
      <protection locked="0"/>
    </xf>
    <xf numFmtId="169" fontId="42" fillId="0" borderId="8" xfId="0" applyNumberFormat="1" applyFont="1" applyFill="1" applyBorder="1" applyProtection="1"/>
    <xf numFmtId="0" fontId="21" fillId="0" borderId="12" xfId="0" applyFont="1" applyFill="1" applyBorder="1" applyAlignment="1">
      <alignment horizontal="center" vertical="center" wrapText="1"/>
    </xf>
    <xf numFmtId="3" fontId="40" fillId="7" borderId="10" xfId="0" applyNumberFormat="1" applyFont="1" applyFill="1" applyBorder="1" applyAlignment="1" applyProtection="1">
      <alignment horizontal="right"/>
      <protection locked="0"/>
    </xf>
    <xf numFmtId="3" fontId="40" fillId="7" borderId="1" xfId="0" applyNumberFormat="1" applyFont="1" applyFill="1" applyBorder="1" applyAlignment="1" applyProtection="1">
      <alignment horizontal="right"/>
      <protection locked="0"/>
    </xf>
    <xf numFmtId="3" fontId="40" fillId="7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79" fillId="2" borderId="1" xfId="0" applyNumberFormat="1" applyFont="1" applyFill="1" applyBorder="1" applyAlignment="1" applyProtection="1">
      <alignment horizontal="right"/>
      <protection locked="0"/>
    </xf>
    <xf numFmtId="1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51" fillId="0" borderId="7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31" fillId="7" borderId="0" xfId="0" applyNumberFormat="1" applyFont="1" applyFill="1" applyBorder="1" applyAlignment="1" applyProtection="1">
      <alignment horizontal="right"/>
      <protection locked="0"/>
    </xf>
    <xf numFmtId="173" fontId="6" fillId="7" borderId="0" xfId="0" applyNumberFormat="1" applyFont="1" applyFill="1" applyBorder="1" applyAlignment="1" applyProtection="1">
      <alignment horizontal="right"/>
      <protection locked="0"/>
    </xf>
    <xf numFmtId="173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Protection="1">
      <protection locked="0"/>
    </xf>
    <xf numFmtId="2" fontId="6" fillId="7" borderId="0" xfId="0" applyNumberFormat="1" applyFont="1" applyFill="1" applyBorder="1" applyProtection="1">
      <protection locked="0"/>
    </xf>
    <xf numFmtId="2" fontId="6" fillId="7" borderId="4" xfId="0" applyNumberFormat="1" applyFont="1" applyFill="1" applyBorder="1" applyProtection="1">
      <protection locked="0"/>
    </xf>
    <xf numFmtId="3" fontId="6" fillId="7" borderId="6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</xf>
    <xf numFmtId="2" fontId="6" fillId="7" borderId="4" xfId="0" applyNumberFormat="1" applyFont="1" applyFill="1" applyBorder="1" applyAlignment="1" applyProtection="1">
      <alignment horizontal="right"/>
    </xf>
    <xf numFmtId="2" fontId="6" fillId="7" borderId="6" xfId="0" applyNumberFormat="1" applyFont="1" applyFill="1" applyBorder="1" applyAlignment="1" applyProtection="1">
      <alignment horizontal="right"/>
    </xf>
    <xf numFmtId="2" fontId="6" fillId="7" borderId="5" xfId="0" applyNumberFormat="1" applyFont="1" applyFill="1" applyBorder="1" applyAlignment="1" applyProtection="1">
      <alignment horizontal="right"/>
    </xf>
    <xf numFmtId="2" fontId="81" fillId="0" borderId="0" xfId="0" applyNumberFormat="1" applyFont="1" applyBorder="1" applyProtection="1">
      <protection locked="0"/>
    </xf>
    <xf numFmtId="3" fontId="31" fillId="7" borderId="1" xfId="0" applyNumberFormat="1" applyFont="1" applyFill="1" applyBorder="1" applyAlignment="1" applyProtection="1">
      <alignment horizontal="right"/>
      <protection locked="0"/>
    </xf>
    <xf numFmtId="17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</xf>
    <xf numFmtId="2" fontId="6" fillId="7" borderId="3" xfId="0" applyNumberFormat="1" applyFont="1" applyFill="1" applyBorder="1" applyAlignment="1" applyProtection="1">
      <alignment horizontal="right"/>
    </xf>
    <xf numFmtId="172" fontId="57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 applyProtection="1">
      <alignment horizontal="right"/>
    </xf>
    <xf numFmtId="168" fontId="41" fillId="29" borderId="0" xfId="0" applyNumberFormat="1" applyFont="1" applyFill="1" applyBorder="1" applyProtection="1">
      <protection locked="0"/>
    </xf>
    <xf numFmtId="2" fontId="79" fillId="7" borderId="10" xfId="64" applyNumberFormat="1" applyFont="1" applyFill="1" applyBorder="1" applyAlignment="1" applyProtection="1">
      <alignment horizontal="right"/>
      <protection locked="0"/>
    </xf>
    <xf numFmtId="2" fontId="79" fillId="7" borderId="11" xfId="64" applyNumberFormat="1" applyFont="1" applyFill="1" applyBorder="1" applyAlignment="1" applyProtection="1">
      <alignment horizontal="right"/>
      <protection locked="0"/>
    </xf>
    <xf numFmtId="3" fontId="40" fillId="0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>
      <alignment horizontal="right"/>
    </xf>
    <xf numFmtId="2" fontId="11" fillId="7" borderId="1" xfId="64" applyNumberFormat="1" applyFont="1" applyFill="1" applyBorder="1" applyAlignment="1" applyProtection="1">
      <alignment horizontal="right"/>
      <protection locked="0"/>
    </xf>
    <xf numFmtId="2" fontId="11" fillId="7" borderId="0" xfId="64" applyNumberFormat="1" applyFont="1" applyFill="1" applyBorder="1" applyAlignment="1" applyProtection="1">
      <alignment horizontal="right"/>
      <protection locked="0"/>
    </xf>
    <xf numFmtId="2" fontId="11" fillId="7" borderId="4" xfId="64" applyNumberFormat="1" applyFont="1" applyFill="1" applyBorder="1" applyAlignment="1" applyProtection="1">
      <alignment horizontal="right"/>
      <protection locked="0"/>
    </xf>
    <xf numFmtId="10" fontId="6" fillId="7" borderId="1" xfId="1" applyNumberFormat="1" applyFont="1" applyFill="1" applyBorder="1" applyAlignment="1" applyProtection="1">
      <alignment horizontal="right"/>
      <protection locked="0"/>
    </xf>
    <xf numFmtId="10" fontId="6" fillId="7" borderId="0" xfId="1" applyNumberFormat="1" applyFont="1" applyFill="1" applyBorder="1" applyAlignment="1" applyProtection="1">
      <alignment horizontal="right"/>
      <protection locked="0"/>
    </xf>
    <xf numFmtId="10" fontId="6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1" applyNumberFormat="1" applyFont="1" applyFill="1" applyBorder="1" applyAlignment="1" applyProtection="1">
      <alignment horizontal="right"/>
      <protection locked="0"/>
    </xf>
    <xf numFmtId="2" fontId="11" fillId="7" borderId="0" xfId="1" applyNumberFormat="1" applyFont="1" applyFill="1" applyBorder="1" applyAlignment="1" applyProtection="1">
      <alignment horizontal="right"/>
      <protection locked="0"/>
    </xf>
    <xf numFmtId="2" fontId="11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 vertical="center" wrapText="1"/>
    </xf>
    <xf numFmtId="3" fontId="6" fillId="7" borderId="40" xfId="0" applyNumberFormat="1" applyFont="1" applyFill="1" applyBorder="1" applyAlignment="1" applyProtection="1">
      <alignment horizontal="right" vertical="center" wrapText="1"/>
    </xf>
    <xf numFmtId="3" fontId="6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" xfId="0" applyNumberFormat="1" applyFont="1" applyFill="1" applyBorder="1" applyAlignment="1" applyProtection="1">
      <alignment horizontal="right" vertical="center" wrapText="1"/>
    </xf>
    <xf numFmtId="3" fontId="6" fillId="7" borderId="4" xfId="0" applyNumberFormat="1" applyFont="1" applyFill="1" applyBorder="1" applyAlignment="1" applyProtection="1">
      <alignment horizontal="right" vertical="center" wrapText="1"/>
    </xf>
    <xf numFmtId="173" fontId="6" fillId="7" borderId="1" xfId="0" applyNumberFormat="1" applyFont="1" applyFill="1" applyBorder="1" applyAlignment="1">
      <alignment horizontal="right" vertical="center" wrapText="1"/>
    </xf>
    <xf numFmtId="173" fontId="6" fillId="7" borderId="4" xfId="0" applyNumberFormat="1" applyFont="1" applyFill="1" applyBorder="1" applyAlignment="1">
      <alignment horizontal="right" vertical="center" wrapText="1"/>
    </xf>
    <xf numFmtId="173" fontId="6" fillId="7" borderId="3" xfId="0" applyNumberFormat="1" applyFont="1" applyFill="1" applyBorder="1" applyAlignment="1">
      <alignment horizontal="right" vertical="center" wrapText="1"/>
    </xf>
    <xf numFmtId="173" fontId="6" fillId="7" borderId="6" xfId="0" applyNumberFormat="1" applyFont="1" applyFill="1" applyBorder="1" applyAlignment="1">
      <alignment horizontal="right" vertical="center" wrapText="1"/>
    </xf>
    <xf numFmtId="173" fontId="6" fillId="7" borderId="5" xfId="0" applyNumberFormat="1" applyFont="1" applyFill="1" applyBorder="1" applyAlignment="1">
      <alignment horizontal="right" vertical="center" wrapText="1"/>
    </xf>
    <xf numFmtId="167" fontId="41" fillId="0" borderId="40" xfId="0" applyNumberFormat="1" applyFont="1" applyFill="1" applyBorder="1" applyAlignment="1" applyProtection="1">
      <alignment horizontal="right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71" fontId="54" fillId="0" borderId="0" xfId="0" applyNumberFormat="1" applyFont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7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vertical="center" textRotation="255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</cellXfs>
  <cellStyles count="330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4" xfId="2261"/>
    <cellStyle name="Normal 10 4 2" xfId="3063"/>
    <cellStyle name="Normal 10 4 3" xfId="3142"/>
    <cellStyle name="Normal 10 4 4" xfId="323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3" xfId="2264"/>
    <cellStyle name="Normal 11 4" xfId="3064"/>
    <cellStyle name="Normal 11 5" xfId="3143"/>
    <cellStyle name="Normal 11 6" xfId="323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3" xfId="3066"/>
    <cellStyle name="Normal 12 4" xfId="3145"/>
    <cellStyle name="Normal 12 5" xfId="323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3" xfId="2269"/>
    <cellStyle name="Normal 13 3 2" xfId="3070"/>
    <cellStyle name="Normal 13 3 3" xfId="3149"/>
    <cellStyle name="Normal 13 3 4" xfId="3239"/>
    <cellStyle name="Normal 13 4" xfId="3068"/>
    <cellStyle name="Normal 13 5" xfId="3147"/>
    <cellStyle name="Normal 13 6" xfId="323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3" xfId="3072"/>
    <cellStyle name="Normal 15 4" xfId="3151"/>
    <cellStyle name="Normal 15 5" xfId="3241"/>
    <cellStyle name="Normal 16" xfId="2276"/>
    <cellStyle name="Normal 16 2" xfId="3074"/>
    <cellStyle name="Normal 16 3" xfId="3153"/>
    <cellStyle name="Normal 16 4" xfId="3243"/>
    <cellStyle name="Normal 17" xfId="2277"/>
    <cellStyle name="Normal 17 2" xfId="3075"/>
    <cellStyle name="Normal 17 3" xfId="3154"/>
    <cellStyle name="Normal 17 4" xfId="3244"/>
    <cellStyle name="Normal 18" xfId="2278"/>
    <cellStyle name="Normal 18 2" xfId="3076"/>
    <cellStyle name="Normal 18 3" xfId="3155"/>
    <cellStyle name="Normal 18 4" xfId="324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3" xfId="2281"/>
    <cellStyle name="Normal 19 3 2" xfId="3079"/>
    <cellStyle name="Normal 19 3 3" xfId="3158"/>
    <cellStyle name="Normal 19 3 4" xfId="3248"/>
    <cellStyle name="Normal 19 4" xfId="3077"/>
    <cellStyle name="Normal 19 5" xfId="3156"/>
    <cellStyle name="Normal 19 6" xfId="324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4" xfId="3081"/>
    <cellStyle name="Normal 2 4 5" xfId="3160"/>
    <cellStyle name="Normal 2 4 6" xfId="325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3" xfId="3085"/>
    <cellStyle name="Normal 20 3 4" xfId="3164"/>
    <cellStyle name="Normal 20 3 5" xfId="3254"/>
    <cellStyle name="Normal 20 4" xfId="3083"/>
    <cellStyle name="Normal 20 5" xfId="3162"/>
    <cellStyle name="Normal 20 6" xfId="3252"/>
    <cellStyle name="Normal 21" xfId="2311"/>
    <cellStyle name="Normal 21 2" xfId="2312"/>
    <cellStyle name="Normal 21 3" xfId="3087"/>
    <cellStyle name="Normal 21 4" xfId="3166"/>
    <cellStyle name="Normal 21 5" xfId="3256"/>
    <cellStyle name="Normal 22" xfId="2313"/>
    <cellStyle name="Normal 22 2" xfId="3088"/>
    <cellStyle name="Normal 22 3" xfId="3167"/>
    <cellStyle name="Normal 22 4" xfId="325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6" xfId="2317"/>
    <cellStyle name="Normal 26 2" xfId="3090"/>
    <cellStyle name="Normal 26 3" xfId="3169"/>
    <cellStyle name="Normal 26 4" xfId="3259"/>
    <cellStyle name="Normal 27" xfId="2318"/>
    <cellStyle name="Normal 28" xfId="2319"/>
    <cellStyle name="Normal 28 2" xfId="3091"/>
    <cellStyle name="Normal 28 3" xfId="3170"/>
    <cellStyle name="Normal 28 4" xfId="326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3" xfId="2322"/>
    <cellStyle name="Normal 29 3 2" xfId="3094"/>
    <cellStyle name="Normal 29 3 3" xfId="3173"/>
    <cellStyle name="Normal 29 3 4" xfId="3263"/>
    <cellStyle name="Normal 29 4" xfId="3092"/>
    <cellStyle name="Normal 29 5" xfId="3171"/>
    <cellStyle name="Normal 29 6" xfId="3261"/>
    <cellStyle name="Normal 3" xfId="65"/>
    <cellStyle name="Normal 3 10" xfId="2324"/>
    <cellStyle name="Normal 3 10 2" xfId="3096"/>
    <cellStyle name="Normal 3 10 3" xfId="3175"/>
    <cellStyle name="Normal 3 10 4" xfId="3265"/>
    <cellStyle name="Normal 3 11" xfId="2325"/>
    <cellStyle name="Normal 3 11 2" xfId="3097"/>
    <cellStyle name="Normal 3 11 3" xfId="3176"/>
    <cellStyle name="Normal 3 11 4" xfId="3266"/>
    <cellStyle name="Normal 3 12" xfId="2326"/>
    <cellStyle name="Normal 3 12 2" xfId="3098"/>
    <cellStyle name="Normal 3 12 3" xfId="3177"/>
    <cellStyle name="Normal 3 12 4" xfId="3267"/>
    <cellStyle name="Normal 3 13" xfId="2327"/>
    <cellStyle name="Normal 3 14" xfId="2323"/>
    <cellStyle name="Normal 3 15" xfId="3095"/>
    <cellStyle name="Normal 3 16" xfId="3174"/>
    <cellStyle name="Normal 3 17" xfId="326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5" xfId="2333"/>
    <cellStyle name="Normal 3 5 2" xfId="3100"/>
    <cellStyle name="Normal 3 5 3" xfId="3179"/>
    <cellStyle name="Normal 3 5 4" xfId="3269"/>
    <cellStyle name="Normal 3 6" xfId="2334"/>
    <cellStyle name="Normal 3 6 2" xfId="3101"/>
    <cellStyle name="Normal 3 6 3" xfId="3180"/>
    <cellStyle name="Normal 3 6 4" xfId="3270"/>
    <cellStyle name="Normal 3 7" xfId="2335"/>
    <cellStyle name="Normal 3 7 2" xfId="3102"/>
    <cellStyle name="Normal 3 7 3" xfId="3181"/>
    <cellStyle name="Normal 3 7 4" xfId="3271"/>
    <cellStyle name="Normal 3 8" xfId="2336"/>
    <cellStyle name="Normal 3 8 2" xfId="3103"/>
    <cellStyle name="Normal 3 8 3" xfId="3182"/>
    <cellStyle name="Normal 3 8 4" xfId="3272"/>
    <cellStyle name="Normal 3 9" xfId="2337"/>
    <cellStyle name="Normal 3 9 2" xfId="3104"/>
    <cellStyle name="Normal 3 9 3" xfId="3183"/>
    <cellStyle name="Normal 3 9 4" xfId="3273"/>
    <cellStyle name="Normal 30" xfId="2338"/>
    <cellStyle name="Normal 30 2" xfId="3105"/>
    <cellStyle name="Normal 30 3" xfId="3184"/>
    <cellStyle name="Normal 30 4" xfId="3274"/>
    <cellStyle name="Normal 31" xfId="2339"/>
    <cellStyle name="Normal 32" xfId="2340"/>
    <cellStyle name="Normal 32 2" xfId="3106"/>
    <cellStyle name="Normal 32 3" xfId="3185"/>
    <cellStyle name="Normal 32 4" xfId="327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3" xfId="2343"/>
    <cellStyle name="Normal 34" xfId="2344"/>
    <cellStyle name="Normal 34 2" xfId="3108"/>
    <cellStyle name="Normal 34 3" xfId="3187"/>
    <cellStyle name="Normal 34 4" xfId="3277"/>
    <cellStyle name="Normal 35" xfId="2345"/>
    <cellStyle name="Normal 35 2" xfId="3109"/>
    <cellStyle name="Normal 35 3" xfId="3188"/>
    <cellStyle name="Normal 35 4" xfId="3278"/>
    <cellStyle name="Normal 36" xfId="2346"/>
    <cellStyle name="Normal 36 2" xfId="3110"/>
    <cellStyle name="Normal 36 3" xfId="3189"/>
    <cellStyle name="Normal 36 4" xfId="3279"/>
    <cellStyle name="Normal 37" xfId="2347"/>
    <cellStyle name="Normal 37 2" xfId="3111"/>
    <cellStyle name="Normal 37 3" xfId="3190"/>
    <cellStyle name="Normal 37 4" xfId="3280"/>
    <cellStyle name="Normal 38" xfId="2348"/>
    <cellStyle name="Normal 39" xfId="2349"/>
    <cellStyle name="Normal 4" xfId="2350"/>
    <cellStyle name="Normal 4 10" xfId="3191"/>
    <cellStyle name="Normal 4 11" xfId="328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3" xfId="3115"/>
    <cellStyle name="Normal 41 4" xfId="3194"/>
    <cellStyle name="Normal 41 5" xfId="328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3" xfId="3117"/>
    <cellStyle name="Normal 42 4" xfId="3196"/>
    <cellStyle name="Normal 42 5" xfId="328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3" xfId="3119"/>
    <cellStyle name="Normal 44 4" xfId="3198"/>
    <cellStyle name="Normal 44 5" xfId="328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3" xfId="2402"/>
    <cellStyle name="Normal 7 3 2" xfId="3124"/>
    <cellStyle name="Normal 7 3 3" xfId="3203"/>
    <cellStyle name="Normal 7 3 4" xfId="3293"/>
    <cellStyle name="Normal 7 4" xfId="2403"/>
    <cellStyle name="Normal 7 4 2" xfId="3125"/>
    <cellStyle name="Normal 7 4 3" xfId="3204"/>
    <cellStyle name="Normal 7 4 4" xfId="3294"/>
    <cellStyle name="Normal 7 5" xfId="2404"/>
    <cellStyle name="Normal 7 5 2" xfId="3126"/>
    <cellStyle name="Normal 7 5 3" xfId="3205"/>
    <cellStyle name="Normal 7 5 4" xfId="3295"/>
    <cellStyle name="Normal 7 6" xfId="2405"/>
    <cellStyle name="Normal 7 6 2" xfId="3127"/>
    <cellStyle name="Normal 7 6 3" xfId="3206"/>
    <cellStyle name="Normal 7 6 4" xfId="3296"/>
    <cellStyle name="Normal 7 7" xfId="2406"/>
    <cellStyle name="Normal 7 7 2" xfId="3128"/>
    <cellStyle name="Normal 7 7 3" xfId="3207"/>
    <cellStyle name="Normal 7 7 4" xfId="3297"/>
    <cellStyle name="Normal 70" xfId="3229"/>
    <cellStyle name="Normal 8" xfId="2407"/>
    <cellStyle name="Normal 8 2" xfId="2408"/>
    <cellStyle name="Normal 8 2 2" xfId="3129"/>
    <cellStyle name="Normal 8 2 3" xfId="3208"/>
    <cellStyle name="Normal 8 2 4" xfId="3298"/>
    <cellStyle name="Normal 8 3" xfId="2409"/>
    <cellStyle name="Normal 8 3 2" xfId="3130"/>
    <cellStyle name="Normal 8 3 3" xfId="3209"/>
    <cellStyle name="Normal 8 3 4" xfId="3299"/>
    <cellStyle name="Normal 8 4" xfId="2410"/>
    <cellStyle name="Normal 8 4 2" xfId="3131"/>
    <cellStyle name="Normal 8 4 3" xfId="3210"/>
    <cellStyle name="Normal 8 4 4" xfId="3300"/>
    <cellStyle name="Normal 8 5" xfId="2411"/>
    <cellStyle name="Normal 8 5 2" xfId="3132"/>
    <cellStyle name="Normal 8 5 3" xfId="3211"/>
    <cellStyle name="Normal 8 5 4" xfId="3301"/>
    <cellStyle name="Normal 8 6" xfId="2412"/>
    <cellStyle name="Normal 8 6 2" xfId="3133"/>
    <cellStyle name="Normal 8 6 3" xfId="3212"/>
    <cellStyle name="Normal 8 6 4" xfId="3302"/>
    <cellStyle name="Normal 9" xfId="241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3" xfId="2416"/>
    <cellStyle name="Normal 9 2 3 2" xfId="3137"/>
    <cellStyle name="Normal 9 2 3 3" xfId="3216"/>
    <cellStyle name="Normal 9 2 3 4" xfId="3306"/>
    <cellStyle name="Normal 9 2 4" xfId="3135"/>
    <cellStyle name="Normal 9 2 5" xfId="3214"/>
    <cellStyle name="Normal 9 2 6" xfId="3304"/>
    <cellStyle name="Normal 9 3" xfId="2417"/>
    <cellStyle name="Normal 9 3 2" xfId="3138"/>
    <cellStyle name="Normal 9 3 3" xfId="3217"/>
    <cellStyle name="Normal 9 3 4" xfId="3307"/>
    <cellStyle name="Normal 9 4" xfId="2418"/>
    <cellStyle name="Normal 9 5" xfId="2419"/>
    <cellStyle name="Normal 9 5 2" xfId="3139"/>
    <cellStyle name="Normal 9 5 3" xfId="3218"/>
    <cellStyle name="Normal 9 5 4" xfId="3308"/>
    <cellStyle name="Normal 9 6" xfId="3134"/>
    <cellStyle name="Normal 9 7" xfId="3213"/>
    <cellStyle name="Normal 9 8" xfId="33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M22" sqref="CM2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89" width="8.85546875" style="200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7" t="s">
        <v>117</v>
      </c>
      <c r="E3" s="819" t="s">
        <v>97</v>
      </c>
      <c r="F3" s="819" t="s">
        <v>99</v>
      </c>
      <c r="G3" s="819" t="s">
        <v>100</v>
      </c>
      <c r="H3" s="819" t="s">
        <v>101</v>
      </c>
      <c r="I3" s="819" t="s">
        <v>102</v>
      </c>
      <c r="J3" s="819" t="s">
        <v>104</v>
      </c>
      <c r="K3" s="819" t="s">
        <v>106</v>
      </c>
      <c r="L3" s="802" t="s">
        <v>107</v>
      </c>
      <c r="M3" s="806" t="s">
        <v>108</v>
      </c>
      <c r="N3" s="802" t="s">
        <v>109</v>
      </c>
      <c r="O3" s="802" t="s">
        <v>110</v>
      </c>
      <c r="P3" s="806" t="s">
        <v>111</v>
      </c>
      <c r="Q3" s="802" t="s">
        <v>112</v>
      </c>
      <c r="R3" s="802" t="s">
        <v>113</v>
      </c>
      <c r="S3" s="802" t="s">
        <v>114</v>
      </c>
      <c r="T3" s="802" t="s">
        <v>115</v>
      </c>
      <c r="U3" s="802" t="s">
        <v>123</v>
      </c>
      <c r="V3" s="802" t="s">
        <v>124</v>
      </c>
      <c r="W3" s="802" t="s">
        <v>125</v>
      </c>
      <c r="X3" s="802" t="s">
        <v>126</v>
      </c>
      <c r="Y3" s="802" t="s">
        <v>127</v>
      </c>
      <c r="Z3" s="802" t="s">
        <v>128</v>
      </c>
      <c r="AA3" s="802" t="s">
        <v>129</v>
      </c>
      <c r="AB3" s="802" t="s">
        <v>130</v>
      </c>
      <c r="AC3" s="802" t="s">
        <v>131</v>
      </c>
      <c r="AD3" s="802" t="s">
        <v>132</v>
      </c>
      <c r="AE3" s="802" t="s">
        <v>133</v>
      </c>
      <c r="AF3" s="802" t="s">
        <v>134</v>
      </c>
      <c r="AG3" s="802" t="s">
        <v>135</v>
      </c>
      <c r="AH3" s="802" t="s">
        <v>136</v>
      </c>
      <c r="AI3" s="802" t="s">
        <v>137</v>
      </c>
      <c r="AJ3" s="802" t="s">
        <v>138</v>
      </c>
      <c r="AK3" s="802" t="s">
        <v>139</v>
      </c>
      <c r="AL3" s="802" t="s">
        <v>141</v>
      </c>
      <c r="AM3" s="802" t="s">
        <v>142</v>
      </c>
      <c r="AN3" s="802" t="s">
        <v>143</v>
      </c>
      <c r="AO3" s="802" t="s">
        <v>144</v>
      </c>
      <c r="AP3" s="802" t="s">
        <v>145</v>
      </c>
      <c r="AQ3" s="802" t="s">
        <v>146</v>
      </c>
      <c r="AR3" s="802" t="s">
        <v>147</v>
      </c>
      <c r="AS3" s="802" t="s">
        <v>148</v>
      </c>
      <c r="AT3" s="802" t="s">
        <v>149</v>
      </c>
      <c r="AU3" s="802" t="s">
        <v>150</v>
      </c>
      <c r="AV3" s="806" t="s">
        <v>151</v>
      </c>
      <c r="AW3" s="802" t="s">
        <v>152</v>
      </c>
      <c r="AX3" s="802" t="s">
        <v>153</v>
      </c>
      <c r="AY3" s="802" t="s">
        <v>154</v>
      </c>
      <c r="AZ3" s="802" t="s">
        <v>155</v>
      </c>
      <c r="BA3" s="802" t="s">
        <v>156</v>
      </c>
      <c r="BB3" s="802" t="s">
        <v>162</v>
      </c>
      <c r="BC3" s="802" t="s">
        <v>163</v>
      </c>
      <c r="BD3" s="802" t="s">
        <v>164</v>
      </c>
      <c r="BE3" s="802" t="s">
        <v>165</v>
      </c>
      <c r="BF3" s="802" t="s">
        <v>166</v>
      </c>
      <c r="BG3" s="802" t="s">
        <v>172</v>
      </c>
      <c r="BH3" s="802" t="s">
        <v>173</v>
      </c>
      <c r="BI3" s="802" t="s">
        <v>174</v>
      </c>
      <c r="BJ3" s="802" t="s">
        <v>175</v>
      </c>
      <c r="BK3" s="802" t="s">
        <v>177</v>
      </c>
      <c r="BL3" s="806" t="s">
        <v>178</v>
      </c>
      <c r="BM3" s="802" t="s">
        <v>179</v>
      </c>
      <c r="BN3" s="802" t="s">
        <v>180</v>
      </c>
      <c r="BO3" s="802" t="s">
        <v>181</v>
      </c>
      <c r="BP3" s="802" t="s">
        <v>182</v>
      </c>
      <c r="BQ3" s="802" t="s">
        <v>183</v>
      </c>
      <c r="BR3" s="802" t="s">
        <v>184</v>
      </c>
      <c r="BS3" s="808" t="s">
        <v>185</v>
      </c>
      <c r="BT3" s="808" t="s">
        <v>186</v>
      </c>
      <c r="BU3" s="804" t="s">
        <v>195</v>
      </c>
      <c r="BV3" s="802" t="s">
        <v>197</v>
      </c>
      <c r="BW3" s="802" t="s">
        <v>204</v>
      </c>
      <c r="BX3" s="802" t="s">
        <v>205</v>
      </c>
      <c r="BY3" s="802" t="s">
        <v>209</v>
      </c>
      <c r="BZ3" s="806" t="s">
        <v>213</v>
      </c>
      <c r="CA3" s="806" t="s">
        <v>214</v>
      </c>
      <c r="CB3" s="806" t="s">
        <v>216</v>
      </c>
      <c r="CC3" s="806" t="s">
        <v>218</v>
      </c>
      <c r="CD3" s="806" t="s">
        <v>219</v>
      </c>
      <c r="CE3" s="806" t="s">
        <v>220</v>
      </c>
      <c r="CF3" s="806" t="s">
        <v>221</v>
      </c>
      <c r="CG3" s="806" t="s">
        <v>222</v>
      </c>
      <c r="CH3" s="806" t="s">
        <v>225</v>
      </c>
      <c r="CI3" s="806" t="s">
        <v>226</v>
      </c>
      <c r="CJ3" s="802" t="s">
        <v>227</v>
      </c>
      <c r="CK3" s="802" t="s">
        <v>228</v>
      </c>
      <c r="CL3" s="813" t="s">
        <v>229</v>
      </c>
      <c r="CM3" s="813"/>
      <c r="CN3" s="813"/>
      <c r="CO3" s="813"/>
      <c r="CP3" s="813"/>
      <c r="CQ3" s="811" t="s">
        <v>140</v>
      </c>
      <c r="CR3" s="812"/>
    </row>
    <row r="4" spans="1:99" ht="16.5" customHeight="1" x14ac:dyDescent="0.2">
      <c r="A4"/>
      <c r="C4" s="23"/>
      <c r="D4" s="818"/>
      <c r="E4" s="820"/>
      <c r="F4" s="820"/>
      <c r="G4" s="820"/>
      <c r="H4" s="820"/>
      <c r="I4" s="820"/>
      <c r="J4" s="820"/>
      <c r="K4" s="820"/>
      <c r="L4" s="803"/>
      <c r="M4" s="807"/>
      <c r="N4" s="803"/>
      <c r="O4" s="803"/>
      <c r="P4" s="807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7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7"/>
      <c r="BM4" s="803"/>
      <c r="BN4" s="803"/>
      <c r="BO4" s="803"/>
      <c r="BP4" s="803"/>
      <c r="BQ4" s="803"/>
      <c r="BR4" s="803"/>
      <c r="BS4" s="809"/>
      <c r="BT4" s="809"/>
      <c r="BU4" s="805"/>
      <c r="BV4" s="803"/>
      <c r="BW4" s="803"/>
      <c r="BX4" s="803"/>
      <c r="BY4" s="803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3"/>
      <c r="CK4" s="803"/>
      <c r="CL4" s="610">
        <v>42373</v>
      </c>
      <c r="CM4" s="377">
        <f>+CL4+1</f>
        <v>42374</v>
      </c>
      <c r="CN4" s="377">
        <f>+CM4+1</f>
        <v>42375</v>
      </c>
      <c r="CO4" s="377">
        <f>+CN4+1</f>
        <v>42376</v>
      </c>
      <c r="CP4" s="459">
        <f>+CN4+1+1</f>
        <v>42377</v>
      </c>
      <c r="CQ4" s="376" t="s">
        <v>20</v>
      </c>
      <c r="CR4" s="309" t="s">
        <v>208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1"/>
      <c r="CK5" s="361"/>
      <c r="CL5" s="611"/>
      <c r="CM5" s="318"/>
      <c r="CN5" s="318"/>
      <c r="CO5" s="771"/>
      <c r="CP5" s="319"/>
      <c r="CQ5" s="310"/>
      <c r="CR5" s="205"/>
    </row>
    <row r="6" spans="1:99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5"/>
      <c r="BT6" s="471"/>
      <c r="BU6" s="516"/>
      <c r="BV6" s="471"/>
      <c r="BW6" s="471"/>
      <c r="BX6" s="471"/>
      <c r="BY6" s="717"/>
      <c r="BZ6" s="717"/>
      <c r="CA6" s="717"/>
      <c r="CB6" s="717"/>
      <c r="CC6" s="717"/>
      <c r="CD6" s="717"/>
      <c r="CE6" s="717"/>
      <c r="CF6" s="717"/>
      <c r="CG6" s="471"/>
      <c r="CH6" s="515"/>
      <c r="CI6" s="515"/>
      <c r="CJ6" s="471"/>
      <c r="CK6" s="515"/>
      <c r="CL6" s="612"/>
      <c r="CM6" s="423"/>
      <c r="CN6" s="423"/>
      <c r="CO6" s="423"/>
      <c r="CP6" s="424"/>
      <c r="CQ6" s="301"/>
      <c r="CR6" s="302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0">
        <v>15386.647503849999</v>
      </c>
      <c r="BX7" s="520">
        <v>15477.552068539999</v>
      </c>
      <c r="BY7" s="363">
        <v>15123.15418833</v>
      </c>
      <c r="BZ7" s="520">
        <v>15087.309402160001</v>
      </c>
      <c r="CA7" s="520">
        <v>15143.512809999998</v>
      </c>
      <c r="CB7" s="363">
        <v>14967.562632600002</v>
      </c>
      <c r="CC7" s="520">
        <v>14841.489893320002</v>
      </c>
      <c r="CD7" s="520">
        <v>14647.741906069999</v>
      </c>
      <c r="CE7" s="363">
        <v>14708.357076800003</v>
      </c>
      <c r="CF7" s="520">
        <v>14486.075041890001</v>
      </c>
      <c r="CG7" s="363">
        <v>14353.026264579999</v>
      </c>
      <c r="CH7" s="363">
        <v>14229.222640329997</v>
      </c>
      <c r="CI7" s="520">
        <v>13967.455094340003</v>
      </c>
      <c r="CJ7" s="363">
        <v>13528.590747479999</v>
      </c>
      <c r="CK7" s="363">
        <v>13056.142426700002</v>
      </c>
      <c r="CL7" s="792">
        <v>13038.34292424</v>
      </c>
      <c r="CM7" s="755">
        <v>13052.041895400002</v>
      </c>
      <c r="CN7" s="755">
        <v>13027.305904460001</v>
      </c>
      <c r="CO7" s="755">
        <v>13024.774623380001</v>
      </c>
      <c r="CP7" s="793">
        <v>13050.381805190003</v>
      </c>
      <c r="CQ7" s="382">
        <f t="shared" ref="CQ7:CQ16" si="0">+CP7-CK7</f>
        <v>-5.7606215099986002</v>
      </c>
      <c r="CR7" s="527">
        <f t="shared" ref="CR7:CR16" si="1">(+(CP7/CK7-1))*100</f>
        <v>-4.4121926076867712E-2</v>
      </c>
      <c r="CS7" s="526"/>
      <c r="CT7" s="293"/>
      <c r="CU7" s="299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0">
        <v>13486.38388123</v>
      </c>
      <c r="BX8" s="520">
        <v>13585.699008439999</v>
      </c>
      <c r="BY8" s="363">
        <v>13226.548415290001</v>
      </c>
      <c r="BZ8" s="520">
        <v>13117.472763160002</v>
      </c>
      <c r="CA8" s="520">
        <v>13242.692437559999</v>
      </c>
      <c r="CB8" s="363">
        <v>13100.238207620001</v>
      </c>
      <c r="CC8" s="520">
        <v>12944.401605880001</v>
      </c>
      <c r="CD8" s="520">
        <v>12776.478923239998</v>
      </c>
      <c r="CE8" s="363">
        <v>12845.411135120001</v>
      </c>
      <c r="CF8" s="520">
        <v>12749.52231468</v>
      </c>
      <c r="CG8" s="363">
        <v>12551.355121840001</v>
      </c>
      <c r="CH8" s="363">
        <v>12438.3978809</v>
      </c>
      <c r="CI8" s="520">
        <v>12151.058428079999</v>
      </c>
      <c r="CJ8" s="363">
        <v>11837.056368139998</v>
      </c>
      <c r="CK8" s="363">
        <v>11357.486079400001</v>
      </c>
      <c r="CL8" s="792">
        <v>11338.622247589999</v>
      </c>
      <c r="CM8" s="755">
        <v>11333.50702239</v>
      </c>
      <c r="CN8" s="755">
        <v>11305.9493917</v>
      </c>
      <c r="CO8" s="755">
        <v>11282.00688916</v>
      </c>
      <c r="CP8" s="793">
        <v>11285.428748100001</v>
      </c>
      <c r="CQ8" s="382">
        <f t="shared" si="0"/>
        <v>-72.057331300000442</v>
      </c>
      <c r="CR8" s="527">
        <f t="shared" si="1"/>
        <v>-0.63444789450982642</v>
      </c>
      <c r="CS8" s="526"/>
      <c r="CT8" s="293"/>
      <c r="CU8" s="299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0">
        <v>246.84372042999999</v>
      </c>
      <c r="BX9" s="520">
        <v>244.06522056</v>
      </c>
      <c r="BY9" s="363">
        <v>241.43191057999999</v>
      </c>
      <c r="BZ9" s="520">
        <v>234.86781403999998</v>
      </c>
      <c r="CA9" s="520">
        <v>235.72083123000002</v>
      </c>
      <c r="CB9" s="363">
        <v>230.61676469000002</v>
      </c>
      <c r="CC9" s="520">
        <v>232.88332547000002</v>
      </c>
      <c r="CD9" s="520">
        <v>231.62289480999999</v>
      </c>
      <c r="CE9" s="363">
        <v>233.9027136</v>
      </c>
      <c r="CF9" s="520">
        <v>232.43571885999998</v>
      </c>
      <c r="CG9" s="363">
        <v>234.7325189</v>
      </c>
      <c r="CH9" s="363">
        <v>234.18535274000001</v>
      </c>
      <c r="CI9" s="520">
        <v>232.27025193999998</v>
      </c>
      <c r="CJ9" s="363">
        <v>228.98451735</v>
      </c>
      <c r="CK9" s="363">
        <v>231.21156453</v>
      </c>
      <c r="CL9" s="792">
        <v>231.02317561000001</v>
      </c>
      <c r="CM9" s="755">
        <v>231.33326710999998</v>
      </c>
      <c r="CN9" s="755">
        <v>229.99453872000001</v>
      </c>
      <c r="CO9" s="755">
        <v>230.00620882999999</v>
      </c>
      <c r="CP9" s="793">
        <v>230.7897734</v>
      </c>
      <c r="CQ9" s="382">
        <f t="shared" si="0"/>
        <v>-0.42179113000000257</v>
      </c>
      <c r="CR9" s="527">
        <f t="shared" si="1"/>
        <v>-0.18242648496298308</v>
      </c>
      <c r="CS9" s="526"/>
      <c r="CT9" s="293"/>
      <c r="CU9" s="299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0">
        <v>1640.2779796899999</v>
      </c>
      <c r="BX10" s="520">
        <v>1634.79270954</v>
      </c>
      <c r="BY10" s="363">
        <v>1642.3194899599998</v>
      </c>
      <c r="BZ10" s="520">
        <v>1722.46448246</v>
      </c>
      <c r="CA10" s="520">
        <v>1652.54869371</v>
      </c>
      <c r="CB10" s="363">
        <v>1624.42909779</v>
      </c>
      <c r="CC10" s="520">
        <v>1651.80623197</v>
      </c>
      <c r="CD10" s="520">
        <v>1627.3072992700002</v>
      </c>
      <c r="CE10" s="363">
        <v>1616.5895618300001</v>
      </c>
      <c r="CF10" s="520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792">
        <v>1456.39914729</v>
      </c>
      <c r="CM10" s="755">
        <v>1474.8867446500001</v>
      </c>
      <c r="CN10" s="755">
        <v>1479.11837904</v>
      </c>
      <c r="CO10" s="755">
        <v>1500.51730914</v>
      </c>
      <c r="CP10" s="793">
        <v>1521.87735494</v>
      </c>
      <c r="CQ10" s="382">
        <f t="shared" si="0"/>
        <v>66.740954669999837</v>
      </c>
      <c r="CR10" s="527">
        <f t="shared" si="1"/>
        <v>4.586577221050625</v>
      </c>
      <c r="CS10" s="526"/>
      <c r="CT10" s="293"/>
      <c r="CU10" s="299"/>
    </row>
    <row r="11" spans="1:99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0">
        <v>13.1419225</v>
      </c>
      <c r="BX11" s="520">
        <v>12.99513</v>
      </c>
      <c r="BY11" s="363">
        <v>12.8543725</v>
      </c>
      <c r="BZ11" s="520">
        <v>12.5043425</v>
      </c>
      <c r="CA11" s="520">
        <v>12.5508475</v>
      </c>
      <c r="CB11" s="363">
        <v>12.2785625</v>
      </c>
      <c r="CC11" s="520">
        <v>12.398729999999999</v>
      </c>
      <c r="CD11" s="520">
        <v>12.332788749999999</v>
      </c>
      <c r="CE11" s="363">
        <v>12.453666249999999</v>
      </c>
      <c r="CF11" s="520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792">
        <v>12.29835375</v>
      </c>
      <c r="CM11" s="755">
        <v>12.31486125</v>
      </c>
      <c r="CN11" s="755">
        <v>12.243594999999999</v>
      </c>
      <c r="CO11" s="755">
        <v>12.244216249999999</v>
      </c>
      <c r="CP11" s="793">
        <v>12.285928749999998</v>
      </c>
      <c r="CQ11" s="382">
        <f t="shared" si="0"/>
        <v>-2.2453750000002159E-2</v>
      </c>
      <c r="CR11" s="527">
        <f t="shared" si="1"/>
        <v>-0.18242648861458433</v>
      </c>
      <c r="CS11" s="526"/>
      <c r="CT11" s="293"/>
      <c r="CU11" s="299"/>
    </row>
    <row r="12" spans="1:99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85">
        <f t="shared" ref="BX12:CJ12" si="6">+BX13+BX14+BX15+BX16</f>
        <v>19073.95594782546</v>
      </c>
      <c r="BY12" s="259">
        <f t="shared" si="6"/>
        <v>18737.393402408583</v>
      </c>
      <c r="BZ12" s="485">
        <f t="shared" si="6"/>
        <v>18569.949520629816</v>
      </c>
      <c r="CA12" s="485">
        <f t="shared" si="6"/>
        <v>18615.87582340432</v>
      </c>
      <c r="CB12" s="259">
        <f t="shared" si="6"/>
        <v>18427.394790495149</v>
      </c>
      <c r="CC12" s="485">
        <f t="shared" si="6"/>
        <v>18507.721166693646</v>
      </c>
      <c r="CD12" s="485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767">
        <f>+CL13+CL14+CL15+CL16</f>
        <v>17030.155970354372</v>
      </c>
      <c r="CM12" s="755">
        <f>+CM13+CM14+CM15+CM16</f>
        <v>17049.389806276944</v>
      </c>
      <c r="CN12" s="755">
        <f>+CN13+CN14+CN15+CN16</f>
        <v>17039.222362971723</v>
      </c>
      <c r="CO12" s="755">
        <f>+CO13+CO14+CO15+CO16</f>
        <v>17071.789451358411</v>
      </c>
      <c r="CP12" s="755">
        <f>+CP13+CP14+CP15+CP16</f>
        <v>17104.301830929984</v>
      </c>
      <c r="CQ12" s="382">
        <f t="shared" si="0"/>
        <v>49.72653093039844</v>
      </c>
      <c r="CR12" s="527">
        <f t="shared" si="1"/>
        <v>0.29157296535200494</v>
      </c>
      <c r="CS12" s="526"/>
      <c r="CT12" s="293"/>
      <c r="CU12" s="299"/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7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794">
        <v>13038.100561130001</v>
      </c>
      <c r="CM13" s="755">
        <v>13051.799532290001</v>
      </c>
      <c r="CN13" s="755">
        <v>13027.062911350002</v>
      </c>
      <c r="CO13" s="755">
        <v>13024.530894410002</v>
      </c>
      <c r="CP13" s="795">
        <v>13050.380439330002</v>
      </c>
      <c r="CQ13" s="382">
        <f t="shared" si="0"/>
        <v>-5.5196242599995458</v>
      </c>
      <c r="CR13" s="527">
        <f t="shared" si="1"/>
        <v>-4.2276857459966344E-2</v>
      </c>
      <c r="CS13" s="526"/>
      <c r="CT13" s="293"/>
      <c r="CU13" s="299"/>
    </row>
    <row r="14" spans="1:99" ht="12.75" customHeight="1" x14ac:dyDescent="0.2">
      <c r="C14" s="25"/>
      <c r="D14" s="518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6">
        <v>2101.026281718659</v>
      </c>
      <c r="BY14" s="358">
        <v>2161.6477540174924</v>
      </c>
      <c r="BZ14" s="396">
        <v>2008.0036927303195</v>
      </c>
      <c r="CA14" s="396">
        <v>1996.8325895247813</v>
      </c>
      <c r="CB14" s="358">
        <v>2031.8602995743436</v>
      </c>
      <c r="CC14" s="396">
        <v>2216.0754563731775</v>
      </c>
      <c r="CD14" s="396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778">
        <v>2609.1850426851315</v>
      </c>
      <c r="CM14" s="755">
        <v>2614.7215693688045</v>
      </c>
      <c r="CN14" s="755">
        <v>2629.265105154519</v>
      </c>
      <c r="CO14" s="755">
        <v>2664.3353818527698</v>
      </c>
      <c r="CP14" s="463">
        <v>2670.9671258177837</v>
      </c>
      <c r="CQ14" s="382">
        <f t="shared" si="0"/>
        <v>55.09545830757952</v>
      </c>
      <c r="CR14" s="527">
        <f t="shared" si="1"/>
        <v>2.106198824349037</v>
      </c>
      <c r="CS14" s="526"/>
      <c r="CT14" s="293"/>
      <c r="CU14" s="299"/>
    </row>
    <row r="15" spans="1:99" ht="12.75" customHeight="1" x14ac:dyDescent="0.2">
      <c r="C15" s="25"/>
      <c r="D15" s="518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396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778">
        <v>531.57363320000002</v>
      </c>
      <c r="CM15" s="755">
        <v>531.53198547080001</v>
      </c>
      <c r="CN15" s="755">
        <v>531.54231795730004</v>
      </c>
      <c r="CO15" s="755">
        <v>531.552650804</v>
      </c>
      <c r="CP15" s="496">
        <v>531.56297965399995</v>
      </c>
      <c r="CQ15" s="382">
        <f t="shared" si="0"/>
        <v>1.5248804299972107E-2</v>
      </c>
      <c r="CR15" s="527">
        <f t="shared" si="1"/>
        <v>2.868755412732682E-3</v>
      </c>
      <c r="CS15" s="526"/>
      <c r="CT15" s="293"/>
      <c r="CU15" s="299"/>
    </row>
    <row r="16" spans="1:99" ht="12.75" customHeight="1" x14ac:dyDescent="0.2">
      <c r="C16" s="25"/>
      <c r="D16" s="518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396">
        <v>946.01999281341102</v>
      </c>
      <c r="CE16" s="358">
        <v>926.51580938921268</v>
      </c>
      <c r="CF16" s="396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778">
        <v>851.29673333923995</v>
      </c>
      <c r="CM16" s="755">
        <v>851.33671914733998</v>
      </c>
      <c r="CN16" s="755">
        <v>851.35202850990004</v>
      </c>
      <c r="CO16" s="755">
        <v>851.37052429163998</v>
      </c>
      <c r="CP16" s="496">
        <v>851.39128612820002</v>
      </c>
      <c r="CQ16" s="382">
        <f t="shared" si="0"/>
        <v>0.1354480785199712</v>
      </c>
      <c r="CR16" s="527">
        <f t="shared" si="1"/>
        <v>1.5911559423820165E-2</v>
      </c>
      <c r="CS16" s="526"/>
      <c r="CT16" s="293"/>
      <c r="CU16" s="299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796">
        <v>52</v>
      </c>
      <c r="CM17" s="755">
        <v>0</v>
      </c>
      <c r="CN17" s="755">
        <v>0</v>
      </c>
      <c r="CO17" s="755">
        <v>6</v>
      </c>
      <c r="CP17" s="797">
        <v>1.2</v>
      </c>
      <c r="CQ17" s="746">
        <f>+(CL17+CM17+CP17+CP17+CP17)-CK17</f>
        <v>35.600000000000009</v>
      </c>
      <c r="CR17" s="528">
        <f>(+((CL17+CM17+CP17+CP17+CP17)/CK17-1))*100</f>
        <v>178.00000000000003</v>
      </c>
      <c r="CS17" s="526"/>
      <c r="CT17" s="293"/>
      <c r="CU17" s="299"/>
    </row>
    <row r="18" spans="1:99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796">
        <v>0</v>
      </c>
      <c r="CM18" s="755">
        <v>0</v>
      </c>
      <c r="CN18" s="755">
        <v>0</v>
      </c>
      <c r="CO18" s="755">
        <v>0.2</v>
      </c>
      <c r="CP18" s="797">
        <v>0</v>
      </c>
      <c r="CQ18" s="746">
        <f>+(CL18+CM18+CP18+CP18+CP18)-CK18</f>
        <v>0</v>
      </c>
      <c r="CR18" s="528" t="e">
        <f>(+((CL18+CM18+CP18+CP18+CP18)/CK18-1))*100</f>
        <v>#DIV/0!</v>
      </c>
      <c r="CS18" s="526"/>
      <c r="CT18" s="293"/>
      <c r="CU18" s="299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6">
        <v>0</v>
      </c>
      <c r="CM19" s="755">
        <v>0</v>
      </c>
      <c r="CN19" s="755">
        <v>0</v>
      </c>
      <c r="CO19" s="755">
        <v>0</v>
      </c>
      <c r="CP19" s="797">
        <v>0</v>
      </c>
      <c r="CQ19" s="746">
        <f>+(CL19+CM19+CP19+CP19+CP19)-CK19</f>
        <v>0</v>
      </c>
      <c r="CR19" s="528" t="e">
        <f>(+((CL19+CM19+CP19+CP19+CP19)/CK19-1))*100</f>
        <v>#DIV/0!</v>
      </c>
      <c r="CS19" s="526"/>
      <c r="CT19" s="293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6">
        <v>0</v>
      </c>
      <c r="CM20" s="755">
        <v>0</v>
      </c>
      <c r="CN20" s="755">
        <v>0</v>
      </c>
      <c r="CO20" s="755">
        <v>0</v>
      </c>
      <c r="CP20" s="797">
        <v>0</v>
      </c>
      <c r="CQ20" s="746">
        <f>+(CL20+CM20+CP20+CP20+CP20)-CK20</f>
        <v>0</v>
      </c>
      <c r="CR20" s="528" t="e">
        <f>(+((CL20+CM20+CP20+CP20+CP20)/CK20-1))*100</f>
        <v>#DIV/0!</v>
      </c>
      <c r="CS20" s="526"/>
      <c r="CT20" s="293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798">
        <v>26</v>
      </c>
      <c r="CM21" s="799">
        <v>5</v>
      </c>
      <c r="CN21" s="799">
        <v>2</v>
      </c>
      <c r="CO21" s="799">
        <v>11.7</v>
      </c>
      <c r="CP21" s="800">
        <v>15</v>
      </c>
      <c r="CQ21" s="746">
        <f>+(CL21+CM21+CP21+CP21+CP21)-CK21</f>
        <v>3.5</v>
      </c>
      <c r="CR21" s="528">
        <f>(+((CL21+CM21+CP21+CP21+CP21)/CK21-1))*100</f>
        <v>4.8275862068965614</v>
      </c>
      <c r="CS21" s="526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0"/>
      <c r="BW22" s="403"/>
      <c r="BX22" s="403"/>
      <c r="BY22" s="290"/>
      <c r="BZ22" s="403"/>
      <c r="CA22" s="403"/>
      <c r="CB22" s="192"/>
      <c r="CC22" s="738"/>
      <c r="CD22" s="403"/>
      <c r="CE22" s="192"/>
      <c r="CF22" s="403"/>
      <c r="CG22" s="192"/>
      <c r="CH22" s="290"/>
      <c r="CI22" s="206"/>
      <c r="CJ22" s="206"/>
      <c r="CK22" s="206"/>
      <c r="CL22" s="726"/>
      <c r="CM22" s="328"/>
      <c r="CN22" s="329"/>
      <c r="CO22" s="329"/>
      <c r="CP22" s="738"/>
      <c r="CQ22" s="752"/>
      <c r="CR22" s="529" t="s">
        <v>3</v>
      </c>
      <c r="CS22" s="526"/>
      <c r="CT22" s="293"/>
    </row>
    <row r="23" spans="1:99" x14ac:dyDescent="0.2">
      <c r="A23" s="227"/>
      <c r="B23" s="81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75">
        <v>52892.309277199347</v>
      </c>
      <c r="CE23" s="364">
        <v>55576.847906729046</v>
      </c>
      <c r="CF23" s="475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790">
        <v>71612.644631090487</v>
      </c>
      <c r="CM23" s="790">
        <v>71642.019106518157</v>
      </c>
      <c r="CN23" s="790">
        <v>71536.057946369823</v>
      </c>
      <c r="CO23" s="790">
        <v>71341.837458126698</v>
      </c>
      <c r="CP23" s="791">
        <v>71849.054698427353</v>
      </c>
      <c r="CQ23" s="443">
        <f>+CP23-CK23</f>
        <v>282.50092084053904</v>
      </c>
      <c r="CR23" s="527">
        <f>(+(CP23/CK23-1))*100</f>
        <v>0.39473875145432658</v>
      </c>
      <c r="CS23" s="526"/>
      <c r="CT23" s="293"/>
      <c r="CU23" s="299"/>
    </row>
    <row r="24" spans="1:99" x14ac:dyDescent="0.2">
      <c r="A24" s="227"/>
      <c r="B24" s="81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75">
        <v>38148.541673379994</v>
      </c>
      <c r="CE24" s="364">
        <v>38359.647042080003</v>
      </c>
      <c r="CF24" s="475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790">
        <v>43021.676438489994</v>
      </c>
      <c r="CM24" s="790">
        <v>43012.202557489996</v>
      </c>
      <c r="CN24" s="790">
        <v>43171.313878589994</v>
      </c>
      <c r="CO24" s="790">
        <v>43039.264758589998</v>
      </c>
      <c r="CP24" s="791">
        <v>42977.977411089996</v>
      </c>
      <c r="CQ24" s="443">
        <f>+CP24-CK24</f>
        <v>54.938862399991194</v>
      </c>
      <c r="CR24" s="527">
        <f>(+(CP24/CK24-1))*100</f>
        <v>0.12799387987798561</v>
      </c>
      <c r="CS24" s="526"/>
      <c r="CT24" s="293"/>
      <c r="CU24" s="299"/>
    </row>
    <row r="25" spans="1:99" x14ac:dyDescent="0.2">
      <c r="A25" s="227"/>
      <c r="B25" s="81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75">
        <v>-62334.519483329743</v>
      </c>
      <c r="CE25" s="364">
        <v>-62536.810570389527</v>
      </c>
      <c r="CF25" s="475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790">
        <v>-46419.693410617292</v>
      </c>
      <c r="CM25" s="790">
        <v>-46523.142233785955</v>
      </c>
      <c r="CN25" s="790">
        <v>-46194.337693107773</v>
      </c>
      <c r="CO25" s="790">
        <v>-46309.017176903799</v>
      </c>
      <c r="CP25" s="791">
        <v>-46547.632402527408</v>
      </c>
      <c r="CQ25" s="443">
        <f>+CP25-CK25</f>
        <v>92.803484777927224</v>
      </c>
      <c r="CR25" s="527">
        <f>(+(CP25/CK25-1))*100</f>
        <v>-0.1989764525403781</v>
      </c>
      <c r="CS25" s="526"/>
      <c r="CT25" s="293"/>
      <c r="CU25" s="299"/>
    </row>
    <row r="26" spans="1:99" x14ac:dyDescent="0.2">
      <c r="A26" s="227"/>
      <c r="B26" s="81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75">
        <v>-31763.446206964381</v>
      </c>
      <c r="CE26" s="364">
        <v>-31746.886380987838</v>
      </c>
      <c r="CF26" s="475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790">
        <v>-16007.242405251698</v>
      </c>
      <c r="CM26" s="790">
        <v>-16024.925633316845</v>
      </c>
      <c r="CN26" s="790">
        <v>-15993.339780843378</v>
      </c>
      <c r="CO26" s="790">
        <v>-16042.846197190724</v>
      </c>
      <c r="CP26" s="791">
        <v>-15963.404551164456</v>
      </c>
      <c r="CQ26" s="443">
        <f>+CP26-CK26</f>
        <v>-101.32177908238191</v>
      </c>
      <c r="CR26" s="527">
        <f>(+(CP26/CK26-1))*100</f>
        <v>0.63876718170146063</v>
      </c>
      <c r="CS26" s="526"/>
      <c r="CT26" s="293"/>
      <c r="CU26" s="299"/>
    </row>
    <row r="27" spans="1:99" x14ac:dyDescent="0.2">
      <c r="A27" s="227"/>
      <c r="B27" s="814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75">
        <v>5515.1043655202002</v>
      </c>
      <c r="CE27" s="364">
        <v>5514.9757570049997</v>
      </c>
      <c r="CF27" s="475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790">
        <v>5516.8584689171994</v>
      </c>
      <c r="CM27" s="790">
        <v>5516.8294890879997</v>
      </c>
      <c r="CN27" s="790">
        <v>5516.7655952062014</v>
      </c>
      <c r="CO27" s="790">
        <v>5516.8254806756004</v>
      </c>
      <c r="CP27" s="791">
        <v>5516.9562616076</v>
      </c>
      <c r="CQ27" s="443">
        <f>+CP27-CK27</f>
        <v>5.1843975000338105E-2</v>
      </c>
      <c r="CR27" s="527">
        <f>(+(CP27/CK27-1))*100</f>
        <v>9.3972944019693472E-4</v>
      </c>
      <c r="CS27" s="526"/>
      <c r="CT27" s="293"/>
      <c r="CU27" s="299"/>
    </row>
    <row r="28" spans="1:99" ht="13.5" x14ac:dyDescent="0.2">
      <c r="A28" s="227"/>
      <c r="B28" s="81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384"/>
      <c r="CM28" s="189"/>
      <c r="CN28" s="189"/>
      <c r="CO28" s="189"/>
      <c r="CP28" s="801"/>
      <c r="CQ28" s="776"/>
      <c r="CR28" s="530"/>
      <c r="CS28" s="526"/>
      <c r="CT28" s="293"/>
    </row>
    <row r="29" spans="1:99" x14ac:dyDescent="0.2">
      <c r="A29" s="227"/>
      <c r="B29" s="81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60956.949763599987</v>
      </c>
      <c r="CD29" s="396">
        <v>62132.629435919996</v>
      </c>
      <c r="CE29" s="358">
        <v>62876.378961160008</v>
      </c>
      <c r="CF29" s="396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778">
        <v>70715.480745134089</v>
      </c>
      <c r="CM29" s="463">
        <v>70663.69169601411</v>
      </c>
      <c r="CN29" s="463">
        <v>70604.399795344099</v>
      </c>
      <c r="CO29" s="463">
        <v>70717.062881094098</v>
      </c>
      <c r="CP29" s="496">
        <v>70780.783315364097</v>
      </c>
      <c r="CQ29" s="443">
        <f>+CP29-CK29</f>
        <v>365.26098410999111</v>
      </c>
      <c r="CR29" s="527">
        <f>(+(CP29/CK29-1))*100</f>
        <v>0.51872225330049648</v>
      </c>
      <c r="CS29" s="526"/>
      <c r="CT29" s="293"/>
      <c r="CU29" s="299"/>
    </row>
    <row r="30" spans="1:99" x14ac:dyDescent="0.2">
      <c r="A30" s="227"/>
      <c r="B30" s="81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104134.14216728999</v>
      </c>
      <c r="CD30" s="396">
        <v>106147.68217032999</v>
      </c>
      <c r="CE30" s="358">
        <v>108326.18642199002</v>
      </c>
      <c r="CF30" s="396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778">
        <v>126248.12105970536</v>
      </c>
      <c r="CM30" s="463">
        <v>126106.66328036538</v>
      </c>
      <c r="CN30" s="463">
        <v>126054.22624429535</v>
      </c>
      <c r="CO30" s="463">
        <v>125969.14415681538</v>
      </c>
      <c r="CP30" s="496">
        <v>125971.97729390537</v>
      </c>
      <c r="CQ30" s="443">
        <f>+CP30-CK30</f>
        <v>-591.81183399002475</v>
      </c>
      <c r="CR30" s="527">
        <f>(+(CP30/CK30-1))*100</f>
        <v>-0.46759964921087027</v>
      </c>
      <c r="CS30" s="526"/>
      <c r="CT30" s="293"/>
      <c r="CU30" s="299"/>
    </row>
    <row r="31" spans="1:99" x14ac:dyDescent="0.2">
      <c r="A31" s="227"/>
      <c r="B31" s="81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156170.02365478</v>
      </c>
      <c r="CD31" s="396">
        <v>159847.41810125002</v>
      </c>
      <c r="CE31" s="358">
        <v>163373.74353541003</v>
      </c>
      <c r="CF31" s="396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778">
        <v>185086.50812123294</v>
      </c>
      <c r="CM31" s="463">
        <v>184975.44755822292</v>
      </c>
      <c r="CN31" s="463">
        <v>184813.22965021292</v>
      </c>
      <c r="CO31" s="463">
        <v>184744.79402879294</v>
      </c>
      <c r="CP31" s="496">
        <v>184700.92896539293</v>
      </c>
      <c r="CQ31" s="443">
        <f>+CP31-CK31</f>
        <v>-751.09025256999303</v>
      </c>
      <c r="CR31" s="527">
        <f>(+(CP31/CK31-1))*100</f>
        <v>-0.4050051629188367</v>
      </c>
      <c r="CS31" s="526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27"/>
      <c r="CM32" s="375"/>
      <c r="CN32" s="375"/>
      <c r="CO32" s="375"/>
      <c r="CP32" s="405"/>
      <c r="CQ32" s="622"/>
      <c r="CR32" s="530"/>
      <c r="CS32" s="526"/>
      <c r="CT32" s="293"/>
    </row>
    <row r="33" spans="1:99" x14ac:dyDescent="0.2">
      <c r="A33" s="227"/>
      <c r="B33" s="44"/>
      <c r="C33" s="17"/>
      <c r="D33" s="22" t="s">
        <v>72</v>
      </c>
      <c r="E33" s="592">
        <v>84.687568656156287</v>
      </c>
      <c r="F33" s="592">
        <v>84.331973948542242</v>
      </c>
      <c r="G33" s="592">
        <v>83.249717358655815</v>
      </c>
      <c r="H33" s="592">
        <v>82.103227596010399</v>
      </c>
      <c r="I33" s="592">
        <v>81.663372572488598</v>
      </c>
      <c r="J33" s="59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2">
        <v>82.250799393981566</v>
      </c>
      <c r="R33" s="592">
        <v>81.927568861316914</v>
      </c>
      <c r="S33" s="551">
        <v>81.638520444450052</v>
      </c>
      <c r="T33" s="55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3">
        <v>86.764335043762372</v>
      </c>
      <c r="BO33" s="593">
        <v>87.028208216336594</v>
      </c>
      <c r="BP33" s="593">
        <v>86.580852319747365</v>
      </c>
      <c r="BQ33" s="593">
        <v>86.286169608291175</v>
      </c>
      <c r="BR33" s="593">
        <v>85.853321058948538</v>
      </c>
      <c r="BS33" s="594">
        <v>86.248134971333343</v>
      </c>
      <c r="BT33" s="79">
        <v>86.503620026125034</v>
      </c>
      <c r="BU33" s="595">
        <v>86.899514816094452</v>
      </c>
      <c r="BV33" s="595">
        <v>87.492916553420443</v>
      </c>
      <c r="BW33" s="595">
        <v>87.076823300589922</v>
      </c>
      <c r="BX33" s="595">
        <v>87.429051186936434</v>
      </c>
      <c r="BY33" s="596">
        <v>88.203445218054142</v>
      </c>
      <c r="BZ33" s="595">
        <v>87.698614095670138</v>
      </c>
      <c r="CA33" s="595">
        <v>87.132964639105055</v>
      </c>
      <c r="CB33" s="596">
        <v>86.592915896893658</v>
      </c>
      <c r="CC33" s="595">
        <v>86.168552453661903</v>
      </c>
      <c r="CD33" s="595">
        <v>85.760026663405625</v>
      </c>
      <c r="CE33" s="596">
        <v>86.291797638196911</v>
      </c>
      <c r="CF33" s="595">
        <v>85.622912671998364</v>
      </c>
      <c r="CG33" s="596">
        <v>86.114501579644241</v>
      </c>
      <c r="CH33" s="596">
        <v>85.979616989218826</v>
      </c>
      <c r="CI33" s="596">
        <v>87.072952253233737</v>
      </c>
      <c r="CJ33" s="596">
        <v>87.292332011896207</v>
      </c>
      <c r="CK33" s="596">
        <v>87.772344325707394</v>
      </c>
      <c r="CL33" s="789">
        <f>100*0.878369850841576</f>
        <v>87.836985084157604</v>
      </c>
      <c r="CM33" s="597">
        <f>0.878773653455137*100</f>
        <v>87.877365345513709</v>
      </c>
      <c r="CN33" s="597">
        <f>0.877384443476549*100</f>
        <v>87.738444347654905</v>
      </c>
      <c r="CO33" s="597">
        <f>0.87501479313017*100</f>
        <v>87.501479313017001</v>
      </c>
      <c r="CP33" s="595">
        <f>0.876029209174694*100</f>
        <v>87.60292091746939</v>
      </c>
      <c r="CQ33" s="443">
        <f>+CP33-CK33</f>
        <v>-0.1694234082380035</v>
      </c>
      <c r="CR33" s="527">
        <f>(+(CP33/CK33-1))*100</f>
        <v>-0.19302595770861464</v>
      </c>
      <c r="CS33" s="526"/>
      <c r="CT33" s="293"/>
    </row>
    <row r="34" spans="1:99" x14ac:dyDescent="0.2">
      <c r="A34" s="227"/>
      <c r="B34" s="44"/>
      <c r="C34" s="17"/>
      <c r="D34" s="22" t="s">
        <v>73</v>
      </c>
      <c r="E34" s="592">
        <v>73.669928665821331</v>
      </c>
      <c r="F34" s="592">
        <v>72.638456988386352</v>
      </c>
      <c r="G34" s="592">
        <v>71.802722371860327</v>
      </c>
      <c r="H34" s="592">
        <v>70.306627157396647</v>
      </c>
      <c r="I34" s="592">
        <v>69.683255699729884</v>
      </c>
      <c r="J34" s="59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2">
        <v>70.027675132566685</v>
      </c>
      <c r="R34" s="592">
        <v>69.888354030476592</v>
      </c>
      <c r="S34" s="551">
        <v>69.300063805834313</v>
      </c>
      <c r="T34" s="55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3">
        <v>81.331805555582321</v>
      </c>
      <c r="BO34" s="593">
        <v>81.27908640076754</v>
      </c>
      <c r="BP34" s="593">
        <v>81.018809356912811</v>
      </c>
      <c r="BQ34" s="593">
        <v>81.005965270427566</v>
      </c>
      <c r="BR34" s="593">
        <v>80.629591712573358</v>
      </c>
      <c r="BS34" s="594">
        <v>80.933068495558629</v>
      </c>
      <c r="BT34" s="79">
        <v>80.881584667743226</v>
      </c>
      <c r="BU34" s="595">
        <v>81.27072973795471</v>
      </c>
      <c r="BV34" s="595">
        <v>81.903012564586675</v>
      </c>
      <c r="BW34" s="595">
        <v>81.920860682059043</v>
      </c>
      <c r="BX34" s="595">
        <v>82.238070746653648</v>
      </c>
      <c r="BY34" s="596">
        <v>83.442450853385225</v>
      </c>
      <c r="BZ34" s="595">
        <v>82.726479779714111</v>
      </c>
      <c r="CA34" s="595">
        <v>82.365601639783463</v>
      </c>
      <c r="CB34" s="596">
        <v>81.809200985689912</v>
      </c>
      <c r="CC34" s="595">
        <v>81.569298124319985</v>
      </c>
      <c r="CD34" s="595">
        <v>81.419929497921046</v>
      </c>
      <c r="CE34" s="596">
        <v>81.923887376399819</v>
      </c>
      <c r="CF34" s="595">
        <v>81.449728655897275</v>
      </c>
      <c r="CG34" s="596">
        <v>81.851234972383509</v>
      </c>
      <c r="CH34" s="596">
        <v>81.981501846638452</v>
      </c>
      <c r="CI34" s="596">
        <v>82.825524464523809</v>
      </c>
      <c r="CJ34" s="596">
        <v>83.148498474244661</v>
      </c>
      <c r="CK34" s="596">
        <v>84.35478924688779</v>
      </c>
      <c r="CL34" s="789">
        <f>0.843317914418948*100</f>
        <v>84.331791441894794</v>
      </c>
      <c r="CM34" s="597">
        <f>0.842501255552083*100</f>
        <v>84.250125555208299</v>
      </c>
      <c r="CN34" s="597">
        <f>0.841602246566665*100</f>
        <v>84.1602246566665</v>
      </c>
      <c r="CO34" s="597">
        <f>0.840095551275729*100</f>
        <v>84.009555127572895</v>
      </c>
      <c r="CP34" s="595">
        <f>0.839965647664649*100</f>
        <v>83.9965647664649</v>
      </c>
      <c r="CQ34" s="443">
        <f>+CP34-CK34</f>
        <v>-0.35822448042289068</v>
      </c>
      <c r="CR34" s="527">
        <f>(+(CP34/CK34-1))*100</f>
        <v>-0.42466406901265907</v>
      </c>
      <c r="CS34" s="526"/>
      <c r="CT34" s="293"/>
    </row>
    <row r="35" spans="1:99" x14ac:dyDescent="0.2">
      <c r="A35" s="227"/>
      <c r="B35" s="44"/>
      <c r="C35" s="17"/>
      <c r="D35" s="22" t="s">
        <v>74</v>
      </c>
      <c r="E35" s="592">
        <v>60.273576235717684</v>
      </c>
      <c r="F35" s="592">
        <v>59.003816889426844</v>
      </c>
      <c r="G35" s="592">
        <v>58.113195449165303</v>
      </c>
      <c r="H35" s="592">
        <v>56.732519402305414</v>
      </c>
      <c r="I35" s="592">
        <v>56.042252284811688</v>
      </c>
      <c r="J35" s="59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2">
        <v>59.760006321845523</v>
      </c>
      <c r="R35" s="592">
        <v>59.856096711048458</v>
      </c>
      <c r="S35" s="551">
        <v>59.692379055945779</v>
      </c>
      <c r="T35" s="55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3">
        <v>82.578423286805801</v>
      </c>
      <c r="BO35" s="593">
        <v>82.629300058484944</v>
      </c>
      <c r="BP35" s="593">
        <v>82.495226635575634</v>
      </c>
      <c r="BQ35" s="593">
        <v>82.521770135965596</v>
      </c>
      <c r="BR35" s="593">
        <v>82.437970508558493</v>
      </c>
      <c r="BS35" s="594">
        <v>82.860840720363086</v>
      </c>
      <c r="BT35" s="79">
        <v>83.021177659442088</v>
      </c>
      <c r="BU35" s="595">
        <v>83.427521905848039</v>
      </c>
      <c r="BV35" s="595">
        <v>83.940657653654654</v>
      </c>
      <c r="BW35" s="595">
        <v>84.123377096602567</v>
      </c>
      <c r="BX35" s="595">
        <v>84.363824078603528</v>
      </c>
      <c r="BY35" s="596">
        <v>85.213845190488897</v>
      </c>
      <c r="BZ35" s="595">
        <v>84.916030206714154</v>
      </c>
      <c r="CA35" s="595">
        <v>84.697324158212353</v>
      </c>
      <c r="CB35" s="596">
        <v>84.392246278745134</v>
      </c>
      <c r="CC35" s="595">
        <v>84.281418496161791</v>
      </c>
      <c r="CD35" s="595">
        <v>84.396438324483057</v>
      </c>
      <c r="CE35" s="596">
        <v>84.79873281647167</v>
      </c>
      <c r="CF35" s="595">
        <v>84.625509020023841</v>
      </c>
      <c r="CG35" s="596">
        <v>84.964700584848131</v>
      </c>
      <c r="CH35" s="596">
        <v>85.067387163049787</v>
      </c>
      <c r="CI35" s="596">
        <v>85.702308389915828</v>
      </c>
      <c r="CJ35" s="596">
        <v>85.80721297212456</v>
      </c>
      <c r="CK35" s="596">
        <v>86.529107487041998</v>
      </c>
      <c r="CL35" s="789">
        <f>0.865213901254642*100</f>
        <v>86.521390125464208</v>
      </c>
      <c r="CM35" s="597">
        <f>0.864653960089586*100</f>
        <v>86.465396008958592</v>
      </c>
      <c r="CN35" s="597">
        <f>0.863982398567358*100</f>
        <v>86.398239856735799</v>
      </c>
      <c r="CO35" s="597">
        <f>0.863052826886592*100</f>
        <v>86.305282688659204</v>
      </c>
      <c r="CP35" s="595">
        <f>0.863052308500618*100</f>
        <v>86.305230850061804</v>
      </c>
      <c r="CQ35" s="443">
        <f>+CP35-CK35</f>
        <v>-0.22387663698019367</v>
      </c>
      <c r="CR35" s="527">
        <f>(+(CP35/CK35-1))*100</f>
        <v>-0.25872985805813764</v>
      </c>
      <c r="CS35" s="526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386"/>
      <c r="CM36" s="190"/>
      <c r="CN36" s="190"/>
      <c r="CO36" s="190"/>
      <c r="CP36" s="406"/>
      <c r="CQ36" s="623" t="s">
        <v>3</v>
      </c>
      <c r="CR36" s="531"/>
      <c r="CS36" s="526"/>
      <c r="CT36" s="293"/>
    </row>
    <row r="37" spans="1:99" ht="12.75" customHeight="1" x14ac:dyDescent="0.2">
      <c r="A37" s="227"/>
      <c r="B37" s="81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4629.9042237609319</v>
      </c>
      <c r="CB37" s="358">
        <v>4845.3991209912529</v>
      </c>
      <c r="CC37" s="396">
        <v>4682.8660918367341</v>
      </c>
      <c r="CD37" s="396">
        <v>4636.9817405247804</v>
      </c>
      <c r="CE37" s="358">
        <v>4470.8377565597657</v>
      </c>
      <c r="CF37" s="396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463">
        <v>2981.7591486880456</v>
      </c>
      <c r="CM37" s="463">
        <v>2981.7591486880456</v>
      </c>
      <c r="CN37" s="463">
        <v>2981.7591486880456</v>
      </c>
      <c r="CO37" s="463">
        <v>2981.7591486880456</v>
      </c>
      <c r="CP37" s="463">
        <v>2840.4618017492703</v>
      </c>
      <c r="CQ37" s="382">
        <f>+CP37-CK37</f>
        <v>-141.29734693877526</v>
      </c>
      <c r="CR37" s="527">
        <f>(+(CP37/CK37-1))*100</f>
        <v>-4.7387243534054431</v>
      </c>
      <c r="CS37" s="526"/>
      <c r="CT37" s="293"/>
      <c r="CU37" s="299"/>
    </row>
    <row r="38" spans="1:99" x14ac:dyDescent="0.2">
      <c r="A38" s="227"/>
      <c r="B38" s="81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96">
        <v>1551.2123527696797</v>
      </c>
      <c r="CE38" s="358">
        <v>1551.6800306122452</v>
      </c>
      <c r="CF38" s="396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463">
        <v>1512.9053586005834</v>
      </c>
      <c r="CM38" s="463">
        <v>1512.9053586005834</v>
      </c>
      <c r="CN38" s="463">
        <v>1512.9053586005834</v>
      </c>
      <c r="CO38" s="463">
        <v>1512.9053586005834</v>
      </c>
      <c r="CP38" s="463">
        <v>1508.5676326530618</v>
      </c>
      <c r="CQ38" s="382">
        <f>+CP38-CK38</f>
        <v>-4.3377259475216761</v>
      </c>
      <c r="CR38" s="527">
        <f>(+(CP38/CK38-1))*100</f>
        <v>-0.28671495694443383</v>
      </c>
      <c r="CS38" s="526"/>
      <c r="CT38" s="293"/>
      <c r="CU38" s="299"/>
    </row>
    <row r="39" spans="1:99" ht="12.75" customHeight="1" x14ac:dyDescent="0.2">
      <c r="A39" s="227"/>
      <c r="B39" s="81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96">
        <v>10641.316740000004</v>
      </c>
      <c r="CE39" s="358">
        <v>10644.525010000003</v>
      </c>
      <c r="CF39" s="396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463">
        <v>10378.530760000003</v>
      </c>
      <c r="CM39" s="463">
        <v>10378.530760000003</v>
      </c>
      <c r="CN39" s="463">
        <v>10378.530760000003</v>
      </c>
      <c r="CO39" s="463">
        <v>10378.530760000003</v>
      </c>
      <c r="CP39" s="463">
        <v>10348.773960000004</v>
      </c>
      <c r="CQ39" s="382">
        <f>+CP39-CK39</f>
        <v>-29.756799999999203</v>
      </c>
      <c r="CR39" s="527">
        <f>(+(CP39/CK39-1))*100</f>
        <v>-0.28671495694443383</v>
      </c>
      <c r="CS39" s="526"/>
      <c r="CT39" s="293"/>
      <c r="CU39" s="299"/>
    </row>
    <row r="40" spans="1:99" ht="12.75" customHeight="1" x14ac:dyDescent="0.2">
      <c r="A40" s="227"/>
      <c r="B40" s="81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0</v>
      </c>
      <c r="CB40" s="358">
        <v>0</v>
      </c>
      <c r="CC40" s="396">
        <v>0</v>
      </c>
      <c r="CD40" s="396">
        <v>0</v>
      </c>
      <c r="CE40" s="358">
        <v>0</v>
      </c>
      <c r="CF40" s="396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463">
        <v>0</v>
      </c>
      <c r="CM40" s="463">
        <v>0</v>
      </c>
      <c r="CN40" s="463">
        <v>0</v>
      </c>
      <c r="CO40" s="463">
        <v>0</v>
      </c>
      <c r="CP40" s="463">
        <v>0</v>
      </c>
      <c r="CQ40" s="382" t="s">
        <v>3</v>
      </c>
      <c r="CR40" s="527" t="s">
        <v>3</v>
      </c>
      <c r="CS40" s="526"/>
      <c r="CT40" s="293"/>
      <c r="CU40" s="299"/>
    </row>
    <row r="41" spans="1:99" x14ac:dyDescent="0.2">
      <c r="A41" s="227"/>
      <c r="B41" s="81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3117.5609329446052</v>
      </c>
      <c r="CB41" s="358">
        <v>3305.970408163264</v>
      </c>
      <c r="CC41" s="396">
        <v>3139.7384839650135</v>
      </c>
      <c r="CD41" s="396">
        <v>3085.7693877551005</v>
      </c>
      <c r="CE41" s="358">
        <v>2919.1577259475202</v>
      </c>
      <c r="CF41" s="396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463">
        <v>1468.8537900874624</v>
      </c>
      <c r="CM41" s="463">
        <v>1468.8537900874624</v>
      </c>
      <c r="CN41" s="463">
        <v>1468.8537900874624</v>
      </c>
      <c r="CO41" s="463">
        <v>1468.8537900874624</v>
      </c>
      <c r="CP41" s="463">
        <v>1331.8941690962088</v>
      </c>
      <c r="CQ41" s="382">
        <f>+CP41-CK41</f>
        <v>-136.95962099125359</v>
      </c>
      <c r="CR41" s="527">
        <f>(+(CP41/CK41-1))*100</f>
        <v>-9.3242514616174503</v>
      </c>
      <c r="CS41" s="526"/>
      <c r="CT41" s="293"/>
      <c r="CU41" s="299"/>
    </row>
    <row r="42" spans="1:99" ht="13.5" x14ac:dyDescent="0.2">
      <c r="A42" s="227"/>
      <c r="B42" s="81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21386.467999999993</v>
      </c>
      <c r="CB42" s="358">
        <v>22678.956999999991</v>
      </c>
      <c r="CC42" s="396">
        <v>21538.605999999992</v>
      </c>
      <c r="CD42" s="396">
        <v>21168.37799999999</v>
      </c>
      <c r="CE42" s="358">
        <v>20025.421999999991</v>
      </c>
      <c r="CF42" s="396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463">
        <v>10076.336999999992</v>
      </c>
      <c r="CM42" s="463">
        <v>10076.336999999992</v>
      </c>
      <c r="CN42" s="463">
        <v>10076.336999999992</v>
      </c>
      <c r="CO42" s="463">
        <v>10076.336999999992</v>
      </c>
      <c r="CP42" s="463">
        <v>9136.7939999999926</v>
      </c>
      <c r="CQ42" s="382">
        <f>+CP42-CK42</f>
        <v>-939.54299999999967</v>
      </c>
      <c r="CR42" s="527">
        <f>(+(CP42/CK42-1))*100</f>
        <v>-9.3242514616174503</v>
      </c>
      <c r="CS42" s="526"/>
      <c r="CT42" s="293"/>
      <c r="CU42" s="299"/>
    </row>
    <row r="43" spans="1:99" ht="12.75" customHeight="1" x14ac:dyDescent="0.2">
      <c r="A43" s="227"/>
      <c r="B43" s="81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96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463">
        <v>1268.8489999999995</v>
      </c>
      <c r="CM43" s="463">
        <v>1268.8489999999995</v>
      </c>
      <c r="CN43" s="463">
        <v>1268.8489999999995</v>
      </c>
      <c r="CO43" s="463">
        <v>1268.8489999999995</v>
      </c>
      <c r="CP43" s="463">
        <v>1324.9869999999996</v>
      </c>
      <c r="CQ43" s="382">
        <f>+CP43-CK43</f>
        <v>56.138000000000147</v>
      </c>
      <c r="CR43" s="527">
        <f>(+(CP43/CK43-1))*100</f>
        <v>4.4243247226423366</v>
      </c>
      <c r="CS43" s="526"/>
      <c r="CT43" s="293"/>
      <c r="CU43" s="299"/>
    </row>
    <row r="44" spans="1:99" x14ac:dyDescent="0.2">
      <c r="A44" s="227"/>
      <c r="B44" s="81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463">
        <v>0</v>
      </c>
      <c r="CM44" s="463">
        <v>0</v>
      </c>
      <c r="CN44" s="463">
        <v>0</v>
      </c>
      <c r="CO44" s="463">
        <v>0</v>
      </c>
      <c r="CP44" s="463">
        <v>0</v>
      </c>
      <c r="CQ44" s="382" t="s">
        <v>3</v>
      </c>
      <c r="CR44" s="527" t="s">
        <v>3</v>
      </c>
      <c r="CS44" s="526"/>
      <c r="CT44" s="293"/>
    </row>
    <row r="45" spans="1:99" x14ac:dyDescent="0.2">
      <c r="A45" s="227"/>
      <c r="B45" s="816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2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48">
        <f t="shared" si="12"/>
        <v>42.889775510204082</v>
      </c>
      <c r="BM45" s="448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2">
        <f t="shared" ref="BS45:CJ45" si="13">+BS46+BS49</f>
        <v>120.92988466034986</v>
      </c>
      <c r="BT45" s="368">
        <f t="shared" si="13"/>
        <v>209.33883865597659</v>
      </c>
      <c r="BU45" s="494">
        <f t="shared" si="13"/>
        <v>87.879145138483906</v>
      </c>
      <c r="BV45" s="494">
        <f t="shared" si="13"/>
        <v>0.49577259475218655</v>
      </c>
      <c r="BW45" s="494">
        <f t="shared" si="13"/>
        <v>67.394652016034996</v>
      </c>
      <c r="BX45" s="494">
        <f t="shared" si="13"/>
        <v>0.24577259475218657</v>
      </c>
      <c r="BY45" s="368">
        <f t="shared" si="13"/>
        <v>14.107194333819198</v>
      </c>
      <c r="BZ45" s="494">
        <f t="shared" si="13"/>
        <v>0.45</v>
      </c>
      <c r="CA45" s="494">
        <f t="shared" si="13"/>
        <v>0.3</v>
      </c>
      <c r="CB45" s="368">
        <f t="shared" si="13"/>
        <v>0.40408163265306118</v>
      </c>
      <c r="CC45" s="494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v>0.65</v>
      </c>
      <c r="CL45" s="768">
        <f>+CL46+CL49</f>
        <v>0.65</v>
      </c>
      <c r="CM45" s="756">
        <f>+CM46+CM49</f>
        <v>0.65</v>
      </c>
      <c r="CN45" s="756">
        <f>+CN46+CN49</f>
        <v>0.65</v>
      </c>
      <c r="CO45" s="756">
        <f>+CO46+CO49</f>
        <v>0.65</v>
      </c>
      <c r="CP45" s="494">
        <f>+CP46+CP49</f>
        <v>0.65</v>
      </c>
      <c r="CQ45" s="382">
        <f t="shared" ref="CQ45:CQ51" si="14">+CP45-CK45</f>
        <v>0</v>
      </c>
      <c r="CR45" s="527">
        <f t="shared" ref="CR45:CR51" si="15">(+(CP45/CK45-1))*100</f>
        <v>0</v>
      </c>
      <c r="CS45" s="526"/>
      <c r="CT45" s="293"/>
    </row>
    <row r="46" spans="1:99" x14ac:dyDescent="0.2">
      <c r="A46" s="227"/>
      <c r="B46" s="816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2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48">
        <f t="shared" si="17"/>
        <v>0.2</v>
      </c>
      <c r="BM46" s="448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2">
        <f t="shared" si="17"/>
        <v>0.25</v>
      </c>
      <c r="BT46" s="368">
        <f t="shared" si="17"/>
        <v>0</v>
      </c>
      <c r="BU46" s="494">
        <f t="shared" si="17"/>
        <v>5.0736151603498545</v>
      </c>
      <c r="BV46" s="494">
        <f t="shared" si="17"/>
        <v>0.49577259475218655</v>
      </c>
      <c r="BW46" s="494">
        <f t="shared" ref="BW46:CJ46" si="18">+BW47/BW$84+BW48</f>
        <v>0.35830903790087465</v>
      </c>
      <c r="BX46" s="494">
        <f t="shared" si="18"/>
        <v>0.24577259475218657</v>
      </c>
      <c r="BY46" s="368">
        <f t="shared" si="18"/>
        <v>5.0606413994169088</v>
      </c>
      <c r="BZ46" s="494">
        <f t="shared" si="18"/>
        <v>0.45</v>
      </c>
      <c r="CA46" s="494">
        <f t="shared" si="18"/>
        <v>0.3</v>
      </c>
      <c r="CB46" s="368">
        <f t="shared" si="18"/>
        <v>0.40408163265306118</v>
      </c>
      <c r="CC46" s="494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v>0.65</v>
      </c>
      <c r="CL46" s="768">
        <f>+CL47/CL$84+CL48</f>
        <v>0.65</v>
      </c>
      <c r="CM46" s="756">
        <f>+CM47/CM$84+CM48</f>
        <v>0.65</v>
      </c>
      <c r="CN46" s="756">
        <f>+CN47/CN$84+CN48</f>
        <v>0.65</v>
      </c>
      <c r="CO46" s="756">
        <f>+CO47/CO$84+CO48</f>
        <v>0.65</v>
      </c>
      <c r="CP46" s="462">
        <f>+CP47/CP$84+CP48</f>
        <v>0.65</v>
      </c>
      <c r="CQ46" s="382">
        <f t="shared" si="14"/>
        <v>0</v>
      </c>
      <c r="CR46" s="527">
        <f t="shared" si="15"/>
        <v>0</v>
      </c>
      <c r="CS46" s="526"/>
      <c r="CT46" s="293"/>
    </row>
    <row r="47" spans="1:99" ht="12.75" customHeight="1" outlineLevel="1" x14ac:dyDescent="0.2">
      <c r="A47" s="227"/>
      <c r="B47" s="81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8">
        <v>30.6</v>
      </c>
      <c r="BZ47" s="494">
        <v>0</v>
      </c>
      <c r="CA47" s="494">
        <v>0</v>
      </c>
      <c r="CB47" s="368">
        <v>1.4</v>
      </c>
      <c r="CC47" s="494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68">
        <v>0</v>
      </c>
      <c r="CM47" s="756">
        <v>0</v>
      </c>
      <c r="CN47" s="756">
        <v>0</v>
      </c>
      <c r="CO47" s="756">
        <v>0</v>
      </c>
      <c r="CP47" s="756">
        <v>0</v>
      </c>
      <c r="CQ47" s="382">
        <f t="shared" si="14"/>
        <v>0</v>
      </c>
      <c r="CR47" s="528" t="e">
        <f t="shared" si="15"/>
        <v>#DIV/0!</v>
      </c>
      <c r="CS47" s="526"/>
      <c r="CT47" s="293"/>
    </row>
    <row r="48" spans="1:99" ht="12.75" customHeight="1" outlineLevel="1" x14ac:dyDescent="0.2">
      <c r="A48" s="227"/>
      <c r="B48" s="81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4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768">
        <v>0.65</v>
      </c>
      <c r="CM48" s="756">
        <v>0.65</v>
      </c>
      <c r="CN48" s="756">
        <v>0.65</v>
      </c>
      <c r="CO48" s="756">
        <v>0.65</v>
      </c>
      <c r="CP48" s="757">
        <v>0.65</v>
      </c>
      <c r="CQ48" s="382">
        <f t="shared" si="14"/>
        <v>0</v>
      </c>
      <c r="CR48" s="527">
        <f t="shared" si="15"/>
        <v>0</v>
      </c>
      <c r="CS48" s="526"/>
      <c r="CT48" s="293"/>
    </row>
    <row r="49" spans="1:99" x14ac:dyDescent="0.2">
      <c r="A49" s="227"/>
      <c r="B49" s="816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48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2">
        <f t="shared" si="20"/>
        <v>120.67988466034986</v>
      </c>
      <c r="BT49" s="368">
        <f t="shared" si="20"/>
        <v>209.33883865597659</v>
      </c>
      <c r="BU49" s="494">
        <f t="shared" si="20"/>
        <v>82.805529978134047</v>
      </c>
      <c r="BV49" s="494">
        <f t="shared" si="20"/>
        <v>0</v>
      </c>
      <c r="BW49" s="494">
        <f t="shared" ref="BW49:CJ49" si="21">+BW50/BW$84+BW51</f>
        <v>67.036342978134115</v>
      </c>
      <c r="BX49" s="494">
        <f t="shared" si="21"/>
        <v>0</v>
      </c>
      <c r="BY49" s="368">
        <f t="shared" si="21"/>
        <v>9.046552934402289</v>
      </c>
      <c r="BZ49" s="494">
        <f t="shared" si="21"/>
        <v>0</v>
      </c>
      <c r="CA49" s="494">
        <f t="shared" si="21"/>
        <v>0</v>
      </c>
      <c r="CB49" s="368">
        <f t="shared" si="21"/>
        <v>0</v>
      </c>
      <c r="CC49" s="494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v>0</v>
      </c>
      <c r="CL49" s="768">
        <f>+CL50/CL$84+CL51</f>
        <v>0</v>
      </c>
      <c r="CM49" s="756">
        <f>+CM50/CM$84+CM51</f>
        <v>0</v>
      </c>
      <c r="CN49" s="756">
        <f>+CN50/CN$84+CN51</f>
        <v>0</v>
      </c>
      <c r="CO49" s="756">
        <f>+CO50/CO$84+CO51</f>
        <v>0</v>
      </c>
      <c r="CP49" s="756">
        <f>+CP50/CP$84+CP51</f>
        <v>0</v>
      </c>
      <c r="CQ49" s="382">
        <f t="shared" si="14"/>
        <v>0</v>
      </c>
      <c r="CR49" s="528" t="e">
        <f t="shared" si="15"/>
        <v>#DIV/0!</v>
      </c>
      <c r="CS49" s="526"/>
      <c r="CT49" s="293"/>
    </row>
    <row r="50" spans="1:99" ht="12.75" hidden="1" customHeight="1" outlineLevel="1" x14ac:dyDescent="0.2">
      <c r="A50" s="227"/>
      <c r="B50" s="81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8">
        <v>62.059353129999707</v>
      </c>
      <c r="BZ50" s="494">
        <v>0</v>
      </c>
      <c r="CA50" s="494">
        <v>0</v>
      </c>
      <c r="CB50" s="368">
        <v>0</v>
      </c>
      <c r="CC50" s="494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68">
        <v>0</v>
      </c>
      <c r="CM50" s="756">
        <v>0</v>
      </c>
      <c r="CN50" s="756">
        <v>0</v>
      </c>
      <c r="CO50" s="756">
        <v>0</v>
      </c>
      <c r="CP50" s="757">
        <v>0</v>
      </c>
      <c r="CQ50" s="382">
        <f t="shared" si="14"/>
        <v>0</v>
      </c>
      <c r="CR50" s="528" t="e">
        <f t="shared" si="15"/>
        <v>#DIV/0!</v>
      </c>
      <c r="CS50" s="526"/>
      <c r="CT50" s="293"/>
    </row>
    <row r="51" spans="1:99" ht="12.75" hidden="1" customHeight="1" outlineLevel="1" x14ac:dyDescent="0.2">
      <c r="A51" s="227"/>
      <c r="B51" s="81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4">
        <v>0</v>
      </c>
      <c r="BV51" s="494">
        <v>0</v>
      </c>
      <c r="BW51" s="494">
        <v>0</v>
      </c>
      <c r="BX51" s="494">
        <v>0</v>
      </c>
      <c r="BY51" s="368">
        <v>0</v>
      </c>
      <c r="BZ51" s="494">
        <v>0</v>
      </c>
      <c r="CA51" s="494">
        <v>0</v>
      </c>
      <c r="CB51" s="368">
        <v>0</v>
      </c>
      <c r="CC51" s="494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68">
        <v>0</v>
      </c>
      <c r="CM51" s="756">
        <v>0</v>
      </c>
      <c r="CN51" s="756">
        <v>0</v>
      </c>
      <c r="CO51" s="756">
        <v>0</v>
      </c>
      <c r="CP51" s="757">
        <v>0</v>
      </c>
      <c r="CQ51" s="382">
        <f t="shared" si="14"/>
        <v>0</v>
      </c>
      <c r="CR51" s="528" t="e">
        <f t="shared" si="15"/>
        <v>#DIV/0!</v>
      </c>
      <c r="CS51" s="526"/>
      <c r="CT51" s="293"/>
    </row>
    <row r="52" spans="1:9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391"/>
      <c r="CM52" s="191"/>
      <c r="CN52" s="191"/>
      <c r="CO52" s="191"/>
      <c r="CP52" s="407"/>
      <c r="CQ52" s="623"/>
      <c r="CR52" s="531"/>
      <c r="CS52" s="526"/>
      <c r="CT52" s="293"/>
    </row>
    <row r="53" spans="1:99" ht="14.25" x14ac:dyDescent="0.2">
      <c r="A53" s="227"/>
      <c r="B53" s="11"/>
      <c r="C53" s="26"/>
      <c r="D53" s="493" t="s">
        <v>207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6">
        <v>18949.493817037903</v>
      </c>
      <c r="BY53" s="358">
        <v>19982.541551956259</v>
      </c>
      <c r="BZ53" s="396">
        <v>19749.907044244897</v>
      </c>
      <c r="CA53" s="396">
        <v>20043.864163026243</v>
      </c>
      <c r="CB53" s="358">
        <v>20263.696798135566</v>
      </c>
      <c r="CC53" s="396">
        <v>20342.698932463558</v>
      </c>
      <c r="CD53" s="396">
        <v>20747.519806153065</v>
      </c>
      <c r="CE53" s="358">
        <v>21012.929194838194</v>
      </c>
      <c r="CF53" s="396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778">
        <v>22888.921636211795</v>
      </c>
      <c r="CM53" s="463">
        <v>22867.92413983716</v>
      </c>
      <c r="CN53" s="463">
        <v>22852.509804111214</v>
      </c>
      <c r="CO53" s="463">
        <v>22856.291897369232</v>
      </c>
      <c r="CP53" s="496">
        <v>22850.934055837162</v>
      </c>
      <c r="CQ53" s="382">
        <f>+CP53-CK53</f>
        <v>-106.61474497666859</v>
      </c>
      <c r="CR53" s="527">
        <f>(+(CP53/CK53-1))*100</f>
        <v>-0.4643995136488166</v>
      </c>
      <c r="CS53" s="526"/>
      <c r="CT53" s="293"/>
    </row>
    <row r="54" spans="1:99" ht="13.5" x14ac:dyDescent="0.2">
      <c r="A54" s="227"/>
      <c r="B54" s="11"/>
      <c r="C54" s="26"/>
      <c r="D54" s="488" t="s">
        <v>210</v>
      </c>
      <c r="E54" s="544">
        <v>51.727152070935503</v>
      </c>
      <c r="F54" s="545">
        <v>51.133659524873487</v>
      </c>
      <c r="G54" s="545">
        <v>50.612696094026511</v>
      </c>
      <c r="H54" s="545">
        <v>49.611305595307712</v>
      </c>
      <c r="I54" s="545">
        <v>48.916552660337778</v>
      </c>
      <c r="J54" s="545">
        <v>47.411505283843887</v>
      </c>
      <c r="K54" s="545">
        <v>48.232964993599921</v>
      </c>
      <c r="L54" s="545">
        <v>48.262101736828008</v>
      </c>
      <c r="M54" s="545">
        <v>47.316358988207192</v>
      </c>
      <c r="N54" s="545">
        <v>48.25530152386002</v>
      </c>
      <c r="O54" s="545">
        <v>49.012342617898149</v>
      </c>
      <c r="P54" s="545">
        <v>49.813842218581513</v>
      </c>
      <c r="Q54" s="545">
        <v>50.969723080935779</v>
      </c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>
        <v>58.145068410508749</v>
      </c>
      <c r="AD54" s="545">
        <v>58.365569329977504</v>
      </c>
      <c r="AE54" s="545">
        <v>58.807248180688333</v>
      </c>
      <c r="AF54" s="545">
        <v>59.558198630217021</v>
      </c>
      <c r="AG54" s="545">
        <v>59.085732785894209</v>
      </c>
      <c r="AH54" s="545">
        <v>59.3598739312135</v>
      </c>
      <c r="AI54" s="545">
        <v>60.578190432634884</v>
      </c>
      <c r="AJ54" s="545">
        <v>60.504108737334086</v>
      </c>
      <c r="AK54" s="545">
        <v>62.005837772806949</v>
      </c>
      <c r="AL54" s="545">
        <v>63.133984676621566</v>
      </c>
      <c r="AM54" s="545">
        <v>63.45015851799446</v>
      </c>
      <c r="AN54" s="545">
        <v>64.625068167142288</v>
      </c>
      <c r="AO54" s="546">
        <v>65.736999268964922</v>
      </c>
      <c r="AP54" s="546">
        <v>66.140406184457731</v>
      </c>
      <c r="AQ54" s="546">
        <v>66.727961165597506</v>
      </c>
      <c r="AR54" s="546">
        <v>67.480303731025231</v>
      </c>
      <c r="AS54" s="546">
        <v>67.384912755293641</v>
      </c>
      <c r="AT54" s="546">
        <v>68.391859628769907</v>
      </c>
      <c r="AU54" s="546">
        <v>69.360597153899874</v>
      </c>
      <c r="AV54" s="546">
        <v>69.982818834754497</v>
      </c>
      <c r="AW54" s="546">
        <v>70.516102973323385</v>
      </c>
      <c r="AX54" s="546">
        <v>70.848767160945513</v>
      </c>
      <c r="AY54" s="546">
        <v>70.933489308554158</v>
      </c>
      <c r="AZ54" s="546">
        <v>71.480889610536238</v>
      </c>
      <c r="BA54" s="546">
        <v>72.718015380159841</v>
      </c>
      <c r="BB54" s="546">
        <v>72.410804568011002</v>
      </c>
      <c r="BC54" s="546">
        <v>72.782479911099145</v>
      </c>
      <c r="BD54" s="546">
        <v>73.1903283469114</v>
      </c>
      <c r="BE54" s="546">
        <v>73.12073202570221</v>
      </c>
      <c r="BF54" s="546">
        <v>73.808207497036719</v>
      </c>
      <c r="BG54" s="546">
        <v>74.920466547110948</v>
      </c>
      <c r="BH54" s="546">
        <v>75.482891157535818</v>
      </c>
      <c r="BI54" s="546">
        <v>76.463588400680123</v>
      </c>
      <c r="BJ54" s="546">
        <v>76.373049337756044</v>
      </c>
      <c r="BK54" s="546">
        <v>76.728157816989608</v>
      </c>
      <c r="BL54" s="546">
        <v>77.434907464096554</v>
      </c>
      <c r="BM54" s="546">
        <v>78.898152631609079</v>
      </c>
      <c r="BN54" s="546">
        <v>79.074503336060289</v>
      </c>
      <c r="BO54" s="546">
        <v>79.181617321576297</v>
      </c>
      <c r="BP54" s="546">
        <v>79.092362337921713</v>
      </c>
      <c r="BQ54" s="546">
        <v>79.396558658773813</v>
      </c>
      <c r="BR54" s="546">
        <v>79.238303983454756</v>
      </c>
      <c r="BS54" s="546">
        <v>79.633614683688165</v>
      </c>
      <c r="BT54" s="546">
        <v>80.01258371889692</v>
      </c>
      <c r="BU54" s="547">
        <v>80.599010913293355</v>
      </c>
      <c r="BV54" s="547">
        <v>81.378263668595679</v>
      </c>
      <c r="BW54" s="547">
        <v>81.687768714648044</v>
      </c>
      <c r="BX54" s="548">
        <v>82.026441293331359</v>
      </c>
      <c r="BY54" s="549">
        <v>82.616982937023636</v>
      </c>
      <c r="BZ54" s="548">
        <v>82.456661356542313</v>
      </c>
      <c r="CA54" s="548">
        <v>82.415091038418879</v>
      </c>
      <c r="CB54" s="549">
        <v>82.331898666147609</v>
      </c>
      <c r="CC54" s="548">
        <v>82.276099841935775</v>
      </c>
      <c r="CD54" s="548">
        <v>82.281523583069401</v>
      </c>
      <c r="CE54" s="549">
        <v>82.464204991421497</v>
      </c>
      <c r="CF54" s="548">
        <v>82.557040296329959</v>
      </c>
      <c r="CG54" s="549">
        <v>82.523740512203531</v>
      </c>
      <c r="CH54" s="549">
        <v>82.284984138614348</v>
      </c>
      <c r="CI54" s="549">
        <v>82.863408882852056</v>
      </c>
      <c r="CJ54" s="549">
        <v>83.020716504615024</v>
      </c>
      <c r="CK54" s="549">
        <v>83.729348672449305</v>
      </c>
      <c r="CL54" s="780">
        <f>0.836871177782994*100</f>
        <v>83.68711777829941</v>
      </c>
      <c r="CM54" s="781">
        <f>0.836162289413332*100</f>
        <v>83.616228941333205</v>
      </c>
      <c r="CN54" s="781">
        <f>0.835297546020286*100</f>
        <v>83.529754602028603</v>
      </c>
      <c r="CO54" s="781">
        <f>0.834162709872128*100</f>
        <v>83.416270987212798</v>
      </c>
      <c r="CP54" s="782">
        <f>0.834040169572502*100</f>
        <v>83.404016957250207</v>
      </c>
      <c r="CQ54" s="382"/>
      <c r="CR54" s="527"/>
      <c r="CS54" s="526"/>
      <c r="CT54" s="293"/>
    </row>
    <row r="55" spans="1:99" ht="12.75" customHeight="1" x14ac:dyDescent="0.2">
      <c r="A55" s="227"/>
      <c r="B55" s="815" t="s">
        <v>3</v>
      </c>
      <c r="C55" s="18"/>
      <c r="D55" s="22" t="s">
        <v>193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17963.631931330903</v>
      </c>
      <c r="CD55" s="396">
        <v>18427.513725422737</v>
      </c>
      <c r="CE55" s="358">
        <v>18946.857233409624</v>
      </c>
      <c r="CF55" s="396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778">
        <v>21541.819863939203</v>
      </c>
      <c r="CM55" s="463">
        <v>21518.751918904218</v>
      </c>
      <c r="CN55" s="463">
        <v>21501.201879506258</v>
      </c>
      <c r="CO55" s="463">
        <v>21503.468699863402</v>
      </c>
      <c r="CP55" s="496">
        <v>21497.04714074824</v>
      </c>
      <c r="CQ55" s="382">
        <f>+CP55-CK55</f>
        <v>-118.27697225218435</v>
      </c>
      <c r="CR55" s="527">
        <f>(+(CP55/CK55-1))*100</f>
        <v>-0.54719037121006009</v>
      </c>
      <c r="CS55" s="526"/>
      <c r="CT55" s="293"/>
      <c r="CU55" s="299"/>
    </row>
    <row r="56" spans="1:99" ht="12.75" customHeight="1" x14ac:dyDescent="0.2">
      <c r="A56" s="227"/>
      <c r="B56" s="815"/>
      <c r="C56" s="19"/>
      <c r="D56" s="488" t="s">
        <v>187</v>
      </c>
      <c r="E56" s="544">
        <v>46.862771685166102</v>
      </c>
      <c r="F56" s="545">
        <v>46.32426177659169</v>
      </c>
      <c r="G56" s="545">
        <v>45.755709676836467</v>
      </c>
      <c r="H56" s="545">
        <v>44.560042978442993</v>
      </c>
      <c r="I56" s="545">
        <v>43.791842978449225</v>
      </c>
      <c r="J56" s="545">
        <v>42.688610820507478</v>
      </c>
      <c r="K56" s="545">
        <v>43.854588430115086</v>
      </c>
      <c r="L56" s="545">
        <v>43.763649790868278</v>
      </c>
      <c r="M56" s="545">
        <v>43.020278904289206</v>
      </c>
      <c r="N56" s="545">
        <v>44.274967823234839</v>
      </c>
      <c r="O56" s="545">
        <v>45.206314800105005</v>
      </c>
      <c r="P56" s="545">
        <v>45.88628527609788</v>
      </c>
      <c r="Q56" s="545">
        <v>47.528352868071586</v>
      </c>
      <c r="R56" s="545">
        <v>48.263784021680948</v>
      </c>
      <c r="S56" s="545">
        <v>48.436758880543707</v>
      </c>
      <c r="T56" s="545">
        <v>47.985195381865857</v>
      </c>
      <c r="U56" s="545">
        <v>47.303110509328782</v>
      </c>
      <c r="V56" s="545">
        <v>48.705220800017933</v>
      </c>
      <c r="W56" s="545">
        <v>48.502395339910684</v>
      </c>
      <c r="X56" s="545">
        <v>48.667212205744995</v>
      </c>
      <c r="Y56" s="545">
        <v>49.266792109175064</v>
      </c>
      <c r="Z56" s="545">
        <v>49.657480226141679</v>
      </c>
      <c r="AA56" s="545">
        <v>50.010920392071881</v>
      </c>
      <c r="AB56" s="545">
        <v>51.688468661517653</v>
      </c>
      <c r="AC56" s="545">
        <v>56.12401510574626</v>
      </c>
      <c r="AD56" s="545">
        <v>56.41267742238886</v>
      </c>
      <c r="AE56" s="545">
        <v>56.93400325561926</v>
      </c>
      <c r="AF56" s="545">
        <v>57.534027061023515</v>
      </c>
      <c r="AG56" s="545">
        <v>56.68166095281827</v>
      </c>
      <c r="AH56" s="545">
        <v>56.87188488374705</v>
      </c>
      <c r="AI56" s="545">
        <v>58.15132818759394</v>
      </c>
      <c r="AJ56" s="545">
        <v>58.16649977689945</v>
      </c>
      <c r="AK56" s="545">
        <v>59.911371375648514</v>
      </c>
      <c r="AL56" s="545">
        <v>61.232514211766102</v>
      </c>
      <c r="AM56" s="545">
        <v>61.628099620826703</v>
      </c>
      <c r="AN56" s="545">
        <v>62.718616419154216</v>
      </c>
      <c r="AO56" s="546">
        <v>64.016751848453453</v>
      </c>
      <c r="AP56" s="546">
        <v>64.46023524160735</v>
      </c>
      <c r="AQ56" s="546">
        <v>65.037528774567321</v>
      </c>
      <c r="AR56" s="546">
        <v>65.780800707184298</v>
      </c>
      <c r="AS56" s="546">
        <v>65.763272006741815</v>
      </c>
      <c r="AT56" s="546">
        <v>66.735957005269938</v>
      </c>
      <c r="AU56" s="546">
        <v>67.874892844027329</v>
      </c>
      <c r="AV56" s="546">
        <v>68.298299533830416</v>
      </c>
      <c r="AW56" s="546">
        <v>69.121992345233025</v>
      </c>
      <c r="AX56" s="546">
        <v>69.654850409057943</v>
      </c>
      <c r="AY56" s="546">
        <v>69.674572947042819</v>
      </c>
      <c r="AZ56" s="546">
        <v>70.458375597270489</v>
      </c>
      <c r="BA56" s="546">
        <v>72.001384554409753</v>
      </c>
      <c r="BB56" s="546">
        <v>71.63744927633482</v>
      </c>
      <c r="BC56" s="546">
        <v>71.832317959987108</v>
      </c>
      <c r="BD56" s="546">
        <v>72.205866840483566</v>
      </c>
      <c r="BE56" s="546">
        <v>72.211309053879674</v>
      </c>
      <c r="BF56" s="546">
        <v>72.44719560541256</v>
      </c>
      <c r="BG56" s="546">
        <v>73.332394270590058</v>
      </c>
      <c r="BH56" s="546">
        <v>73.825885712356907</v>
      </c>
      <c r="BI56" s="546">
        <v>74.960753739735495</v>
      </c>
      <c r="BJ56" s="546">
        <v>74.976069313789452</v>
      </c>
      <c r="BK56" s="546">
        <v>75.284922941338863</v>
      </c>
      <c r="BL56" s="546">
        <v>75.580187469605633</v>
      </c>
      <c r="BM56" s="546">
        <v>77.076293226000431</v>
      </c>
      <c r="BN56" s="546">
        <v>76.910179581654461</v>
      </c>
      <c r="BO56" s="546">
        <v>76.842381325389667</v>
      </c>
      <c r="BP56" s="546">
        <v>76.612766100674193</v>
      </c>
      <c r="BQ56" s="546">
        <v>76.805605481701122</v>
      </c>
      <c r="BR56" s="546">
        <v>76.580797254595652</v>
      </c>
      <c r="BS56" s="546">
        <v>77.05100533499845</v>
      </c>
      <c r="BT56" s="546">
        <v>77.315801780356523</v>
      </c>
      <c r="BU56" s="547">
        <v>78.035847120868581</v>
      </c>
      <c r="BV56" s="547">
        <v>78.925366752463773</v>
      </c>
      <c r="BW56" s="547">
        <v>79.195777664214404</v>
      </c>
      <c r="BX56" s="548">
        <v>79.5946544950841</v>
      </c>
      <c r="BY56" s="549">
        <v>80.348426168189292</v>
      </c>
      <c r="BZ56" s="548">
        <v>80.262753349421473</v>
      </c>
      <c r="CA56" s="548">
        <v>80.0013941549187</v>
      </c>
      <c r="CB56" s="549">
        <v>79.640689073266373</v>
      </c>
      <c r="CC56" s="548">
        <v>79.540260684159264</v>
      </c>
      <c r="CD56" s="548">
        <v>79.735162847274367</v>
      </c>
      <c r="CE56" s="549">
        <v>80.298776276578494</v>
      </c>
      <c r="CF56" s="548">
        <v>80.247426678533401</v>
      </c>
      <c r="CG56" s="549">
        <v>80.75688534184475</v>
      </c>
      <c r="CH56" s="549">
        <v>80.903885164436872</v>
      </c>
      <c r="CI56" s="549">
        <v>81.716649577819993</v>
      </c>
      <c r="CJ56" s="549">
        <v>82.005462927461664</v>
      </c>
      <c r="CK56" s="549">
        <v>82.675073090141609</v>
      </c>
      <c r="CL56" s="780">
        <f>0.826361812007778*100</f>
        <v>82.636181200777798</v>
      </c>
      <c r="CM56" s="781">
        <f>0.825541645374033*100</f>
        <v>82.554164537403295</v>
      </c>
      <c r="CN56" s="781">
        <f>0.824595051416985*100</f>
        <v>82.4595051416985</v>
      </c>
      <c r="CO56" s="781">
        <f>0.823472279032375*100</f>
        <v>82.347227903237496</v>
      </c>
      <c r="CP56" s="782">
        <f>0.823367097803176*100</f>
        <v>82.336709780317591</v>
      </c>
      <c r="CQ56" s="382"/>
      <c r="CR56" s="527"/>
      <c r="CS56" s="526"/>
      <c r="CT56" s="293"/>
      <c r="CU56" s="299"/>
    </row>
    <row r="57" spans="1:99" ht="3" customHeight="1" x14ac:dyDescent="0.2">
      <c r="A57" s="227"/>
      <c r="B57" s="815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90"/>
      <c r="BZ57" s="525"/>
      <c r="CA57" s="525"/>
      <c r="CB57" s="590"/>
      <c r="CC57" s="525"/>
      <c r="CD57" s="525"/>
      <c r="CE57" s="590"/>
      <c r="CF57" s="525"/>
      <c r="CG57" s="590"/>
      <c r="CH57" s="590"/>
      <c r="CI57" s="590"/>
      <c r="CJ57" s="590"/>
      <c r="CK57" s="590"/>
      <c r="CL57" s="783"/>
      <c r="CM57" s="784"/>
      <c r="CN57" s="784"/>
      <c r="CO57" s="784"/>
      <c r="CP57" s="785"/>
      <c r="CQ57" s="382"/>
      <c r="CR57" s="527" t="s">
        <v>3</v>
      </c>
      <c r="CS57" s="526"/>
      <c r="CT57" s="293"/>
      <c r="CU57" s="299"/>
    </row>
    <row r="58" spans="1:99" x14ac:dyDescent="0.2">
      <c r="A58" s="227"/>
      <c r="B58" s="815"/>
      <c r="C58" s="17"/>
      <c r="D58" s="22" t="s">
        <v>188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4084.1750958819239</v>
      </c>
      <c r="CD58" s="396">
        <v>4183.3754360160356</v>
      </c>
      <c r="CE58" s="358">
        <v>4297.0956336647232</v>
      </c>
      <c r="CF58" s="396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778">
        <v>4869.6584388519104</v>
      </c>
      <c r="CM58" s="463">
        <v>4855.2306561915602</v>
      </c>
      <c r="CN58" s="463">
        <v>4852.6844079510347</v>
      </c>
      <c r="CO58" s="463">
        <v>4881.3504567586151</v>
      </c>
      <c r="CP58" s="496">
        <v>4890.6119147965173</v>
      </c>
      <c r="CQ58" s="382">
        <f>+CP58-CK58</f>
        <v>44.456444173469208</v>
      </c>
      <c r="CR58" s="527">
        <f>(+(CP58/CK58-1))*100</f>
        <v>0.91735488972568557</v>
      </c>
      <c r="CS58" s="526"/>
      <c r="CT58" s="293"/>
      <c r="CU58" s="299"/>
    </row>
    <row r="59" spans="1:99" x14ac:dyDescent="0.2">
      <c r="A59" s="227"/>
      <c r="B59" s="815"/>
      <c r="C59" s="17"/>
      <c r="D59" s="489" t="s">
        <v>187</v>
      </c>
      <c r="E59" s="550">
        <v>60.084351140735379</v>
      </c>
      <c r="F59" s="551">
        <v>61.319086062235939</v>
      </c>
      <c r="G59" s="551">
        <v>59.624425565475001</v>
      </c>
      <c r="H59" s="551">
        <v>57.829590890409236</v>
      </c>
      <c r="I59" s="551">
        <v>56.4310531792608</v>
      </c>
      <c r="J59" s="551">
        <v>55.353026963149297</v>
      </c>
      <c r="K59" s="551">
        <v>56.659609526118324</v>
      </c>
      <c r="L59" s="551">
        <v>57.692482729005654</v>
      </c>
      <c r="M59" s="551">
        <v>56.124337575690411</v>
      </c>
      <c r="N59" s="551">
        <v>55.075094856112713</v>
      </c>
      <c r="O59" s="551">
        <v>56.973134937777516</v>
      </c>
      <c r="P59" s="551">
        <v>58.742406405049984</v>
      </c>
      <c r="Q59" s="551">
        <v>59.312739782679081</v>
      </c>
      <c r="R59" s="551">
        <v>59.957309361085109</v>
      </c>
      <c r="S59" s="551">
        <v>59.977732299537521</v>
      </c>
      <c r="T59" s="551">
        <v>57.504017016673991</v>
      </c>
      <c r="U59" s="551">
        <v>54.079210103830491</v>
      </c>
      <c r="V59" s="551">
        <v>58.134934264262014</v>
      </c>
      <c r="W59" s="551">
        <v>57.466858078453157</v>
      </c>
      <c r="X59" s="551">
        <v>57.417682459328958</v>
      </c>
      <c r="Y59" s="551">
        <v>58.057703473090626</v>
      </c>
      <c r="Z59" s="551">
        <v>57.181557418190145</v>
      </c>
      <c r="AA59" s="551">
        <v>58.274470921666818</v>
      </c>
      <c r="AB59" s="551">
        <v>58.296576010949593</v>
      </c>
      <c r="AC59" s="551">
        <v>63.7229277506041</v>
      </c>
      <c r="AD59" s="551">
        <v>63.134537367185764</v>
      </c>
      <c r="AE59" s="551">
        <v>63.526740094935199</v>
      </c>
      <c r="AF59" s="551">
        <v>64.501458521583615</v>
      </c>
      <c r="AG59" s="551">
        <v>60.429480842277194</v>
      </c>
      <c r="AH59" s="551">
        <v>60.724991510381528</v>
      </c>
      <c r="AI59" s="551">
        <v>60.969849791486361</v>
      </c>
      <c r="AJ59" s="551">
        <v>59.111972751000266</v>
      </c>
      <c r="AK59" s="551">
        <v>61.294837764550238</v>
      </c>
      <c r="AL59" s="551">
        <v>61.908650875330416</v>
      </c>
      <c r="AM59" s="551">
        <v>62.964300709345878</v>
      </c>
      <c r="AN59" s="551">
        <v>64.800717827131052</v>
      </c>
      <c r="AO59" s="552">
        <v>66.314941051981748</v>
      </c>
      <c r="AP59" s="552">
        <v>67.340899628617194</v>
      </c>
      <c r="AQ59" s="552">
        <v>67.169728203822899</v>
      </c>
      <c r="AR59" s="552">
        <v>66.383823756535207</v>
      </c>
      <c r="AS59" s="552">
        <v>63.824970603853806</v>
      </c>
      <c r="AT59" s="552">
        <v>64.349851190084749</v>
      </c>
      <c r="AU59" s="552">
        <v>65.595334970900552</v>
      </c>
      <c r="AV59" s="552">
        <v>65.042229548241423</v>
      </c>
      <c r="AW59" s="552">
        <v>65.455360590629581</v>
      </c>
      <c r="AX59" s="552">
        <v>66.451863006690473</v>
      </c>
      <c r="AY59" s="552">
        <v>65.064639667305798</v>
      </c>
      <c r="AZ59" s="552">
        <v>66.227924109720234</v>
      </c>
      <c r="BA59" s="552">
        <v>69.110074885137124</v>
      </c>
      <c r="BB59" s="552">
        <v>66.554242927320047</v>
      </c>
      <c r="BC59" s="552">
        <v>66.138234765126072</v>
      </c>
      <c r="BD59" s="552">
        <v>66.468762214228335</v>
      </c>
      <c r="BE59" s="552">
        <v>64.719809023821384</v>
      </c>
      <c r="BF59" s="552">
        <v>64.696889001157359</v>
      </c>
      <c r="BG59" s="552">
        <v>67.310175515078143</v>
      </c>
      <c r="BH59" s="552">
        <v>65.886371310350313</v>
      </c>
      <c r="BI59" s="552">
        <v>66.944990578486255</v>
      </c>
      <c r="BJ59" s="552">
        <v>66.054993845281444</v>
      </c>
      <c r="BK59" s="552">
        <v>66.506389519375546</v>
      </c>
      <c r="BL59" s="552">
        <v>67.108553076311452</v>
      </c>
      <c r="BM59" s="552">
        <v>70.495617939552858</v>
      </c>
      <c r="BN59" s="552">
        <v>69.953948486103599</v>
      </c>
      <c r="BO59" s="552">
        <v>70.706311044989604</v>
      </c>
      <c r="BP59" s="552">
        <v>70.478573939164889</v>
      </c>
      <c r="BQ59" s="552">
        <v>69.395431181316283</v>
      </c>
      <c r="BR59" s="552">
        <v>68.625415281547717</v>
      </c>
      <c r="BS59" s="552">
        <v>69.524694948184063</v>
      </c>
      <c r="BT59" s="552">
        <v>69.332830480482102</v>
      </c>
      <c r="BU59" s="553">
        <v>69.849057086277298</v>
      </c>
      <c r="BV59" s="553">
        <v>71.999185857576336</v>
      </c>
      <c r="BW59" s="553">
        <v>71.110292807354057</v>
      </c>
      <c r="BX59" s="554">
        <v>72.958128749445493</v>
      </c>
      <c r="BY59" s="591">
        <v>73.305689779494045</v>
      </c>
      <c r="BZ59" s="554">
        <v>72.791612212165703</v>
      </c>
      <c r="CA59" s="554">
        <v>71.724287228211267</v>
      </c>
      <c r="CB59" s="591">
        <v>71.209542224186279</v>
      </c>
      <c r="CC59" s="554">
        <v>69.907214277961245</v>
      </c>
      <c r="CD59" s="554">
        <v>69.169685736835334</v>
      </c>
      <c r="CE59" s="591">
        <v>70.864989338876001</v>
      </c>
      <c r="CF59" s="554">
        <v>68.168514287041646</v>
      </c>
      <c r="CG59" s="591">
        <v>69.402714610974698</v>
      </c>
      <c r="CH59" s="591">
        <v>69.951707644495315</v>
      </c>
      <c r="CI59" s="591">
        <v>71.999258390756765</v>
      </c>
      <c r="CJ59" s="591">
        <v>73.377519763604752</v>
      </c>
      <c r="CK59" s="591">
        <v>74.100573503072098</v>
      </c>
      <c r="CL59" s="786">
        <f>0.742526153451847*100</f>
        <v>74.252615345184708</v>
      </c>
      <c r="CM59" s="787">
        <f>0.742806873962465*100</f>
        <v>74.280687396246506</v>
      </c>
      <c r="CN59" s="787">
        <f>0.739941426910427*100</f>
        <v>73.994142691042697</v>
      </c>
      <c r="CO59" s="787">
        <f>0.736051788642011*100</f>
        <v>73.605178864201108</v>
      </c>
      <c r="CP59" s="788">
        <f>0.738454399602103*100</f>
        <v>73.8454399602103</v>
      </c>
      <c r="CQ59" s="382"/>
      <c r="CR59" s="527"/>
      <c r="CS59" s="526"/>
      <c r="CT59" s="293"/>
      <c r="CU59" s="299"/>
    </row>
    <row r="60" spans="1:99" ht="3" customHeight="1" x14ac:dyDescent="0.2">
      <c r="A60" s="227"/>
      <c r="B60" s="815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6"/>
      <c r="BY60" s="358"/>
      <c r="BZ60" s="396"/>
      <c r="CA60" s="396"/>
      <c r="CB60" s="358"/>
      <c r="CC60" s="396"/>
      <c r="CD60" s="396"/>
      <c r="CE60" s="358"/>
      <c r="CF60" s="396"/>
      <c r="CG60" s="358"/>
      <c r="CH60" s="358"/>
      <c r="CI60" s="358"/>
      <c r="CJ60" s="358"/>
      <c r="CK60" s="358"/>
      <c r="CL60" s="778"/>
      <c r="CM60" s="463"/>
      <c r="CN60" s="463"/>
      <c r="CO60" s="463"/>
      <c r="CP60" s="496"/>
      <c r="CQ60" s="382"/>
      <c r="CR60" s="527"/>
      <c r="CS60" s="526"/>
      <c r="CT60" s="293"/>
      <c r="CU60" s="299"/>
    </row>
    <row r="61" spans="1:99" x14ac:dyDescent="0.2">
      <c r="A61" s="227"/>
      <c r="B61" s="815"/>
      <c r="C61" s="17"/>
      <c r="D61" s="22" t="s">
        <v>189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6294.0513708002927</v>
      </c>
      <c r="CD61" s="396">
        <v>6416.1884452492695</v>
      </c>
      <c r="CE61" s="358">
        <v>6625.3363645524778</v>
      </c>
      <c r="CF61" s="396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778">
        <v>8095.1370720949371</v>
      </c>
      <c r="CM61" s="463">
        <v>8082.0658286226326</v>
      </c>
      <c r="CN61" s="463">
        <v>8083.0650800220492</v>
      </c>
      <c r="CO61" s="463">
        <v>8054.2392530205943</v>
      </c>
      <c r="CP61" s="496">
        <v>8045.3635537232167</v>
      </c>
      <c r="CQ61" s="382">
        <f>+CP61-CK61</f>
        <v>-139.51498806122436</v>
      </c>
      <c r="CR61" s="527">
        <f>(+(CP61/CK61-1))*100</f>
        <v>-1.7045456123629621</v>
      </c>
      <c r="CS61" s="526"/>
      <c r="CT61" s="293"/>
      <c r="CU61" s="299"/>
    </row>
    <row r="62" spans="1:99" x14ac:dyDescent="0.2">
      <c r="A62" s="227"/>
      <c r="B62" s="815"/>
      <c r="C62" s="17"/>
      <c r="D62" s="489" t="s">
        <v>187</v>
      </c>
      <c r="E62" s="550">
        <v>58.563668429599467</v>
      </c>
      <c r="F62" s="551">
        <v>57.190986430588033</v>
      </c>
      <c r="G62" s="551">
        <v>57.030072864073844</v>
      </c>
      <c r="H62" s="551">
        <v>55.231676251557062</v>
      </c>
      <c r="I62" s="551">
        <v>54.618479896087521</v>
      </c>
      <c r="J62" s="551">
        <v>53.088469258428475</v>
      </c>
      <c r="K62" s="551">
        <v>53.84901955768283</v>
      </c>
      <c r="L62" s="551">
        <v>53.429772612651959</v>
      </c>
      <c r="M62" s="551">
        <v>53.030715066072851</v>
      </c>
      <c r="N62" s="551">
        <v>54.000615754180195</v>
      </c>
      <c r="O62" s="551">
        <v>53.211950551676999</v>
      </c>
      <c r="P62" s="551">
        <v>52.264983122164899</v>
      </c>
      <c r="Q62" s="551">
        <v>53.225443709203027</v>
      </c>
      <c r="R62" s="551">
        <v>54.032793165590732</v>
      </c>
      <c r="S62" s="551">
        <v>53.430785930791288</v>
      </c>
      <c r="T62" s="551">
        <v>53.258170502148829</v>
      </c>
      <c r="U62" s="551">
        <v>53.086839922475527</v>
      </c>
      <c r="V62" s="551">
        <v>53.38681103471594</v>
      </c>
      <c r="W62" s="551">
        <v>53.105411964007573</v>
      </c>
      <c r="X62" s="551">
        <v>53.085744012762667</v>
      </c>
      <c r="Y62" s="551">
        <v>53.099233372018986</v>
      </c>
      <c r="Z62" s="551">
        <v>53.023991004991487</v>
      </c>
      <c r="AA62" s="551">
        <v>52.714246701317037</v>
      </c>
      <c r="AB62" s="551">
        <v>55.208396964871575</v>
      </c>
      <c r="AC62" s="551">
        <v>61.930600655546122</v>
      </c>
      <c r="AD62" s="551">
        <v>61.379177196254886</v>
      </c>
      <c r="AE62" s="551">
        <v>61.616075457481301</v>
      </c>
      <c r="AF62" s="551">
        <v>61.650306163145906</v>
      </c>
      <c r="AG62" s="551">
        <v>61.22241719320197</v>
      </c>
      <c r="AH62" s="551">
        <v>60.940422910332956</v>
      </c>
      <c r="AI62" s="551">
        <v>62.297478115511417</v>
      </c>
      <c r="AJ62" s="551">
        <v>61.93334703980041</v>
      </c>
      <c r="AK62" s="551">
        <v>63.71029091249882</v>
      </c>
      <c r="AL62" s="551">
        <v>64.673930660389118</v>
      </c>
      <c r="AM62" s="551">
        <v>64.457890979801817</v>
      </c>
      <c r="AN62" s="551">
        <v>64.884185852101524</v>
      </c>
      <c r="AO62" s="552">
        <v>66.048965051295568</v>
      </c>
      <c r="AP62" s="552">
        <v>64.928287957213868</v>
      </c>
      <c r="AQ62" s="552">
        <v>64.973137715973536</v>
      </c>
      <c r="AR62" s="552">
        <v>65.496999909600333</v>
      </c>
      <c r="AS62" s="552">
        <v>65.556858654559832</v>
      </c>
      <c r="AT62" s="552">
        <v>65.74863664031831</v>
      </c>
      <c r="AU62" s="552">
        <v>66.700075932555052</v>
      </c>
      <c r="AV62" s="552">
        <v>66.804404869928888</v>
      </c>
      <c r="AW62" s="552">
        <v>67.412459156087593</v>
      </c>
      <c r="AX62" s="552">
        <v>67.040733444326676</v>
      </c>
      <c r="AY62" s="552">
        <v>67.219096350098624</v>
      </c>
      <c r="AZ62" s="552">
        <v>68.61533574352066</v>
      </c>
      <c r="BA62" s="552">
        <v>70.327981030853337</v>
      </c>
      <c r="BB62" s="552">
        <v>70.06453723082528</v>
      </c>
      <c r="BC62" s="552">
        <v>69.999515042951856</v>
      </c>
      <c r="BD62" s="552">
        <v>69.664025711082544</v>
      </c>
      <c r="BE62" s="552">
        <v>69.739899283929688</v>
      </c>
      <c r="BF62" s="552">
        <v>69.150676482624391</v>
      </c>
      <c r="BG62" s="552">
        <v>69.694857456170013</v>
      </c>
      <c r="BH62" s="552">
        <v>70.501759613531064</v>
      </c>
      <c r="BI62" s="552">
        <v>71.172290429470337</v>
      </c>
      <c r="BJ62" s="552">
        <v>70.990799159732802</v>
      </c>
      <c r="BK62" s="552">
        <v>71.491190531316178</v>
      </c>
      <c r="BL62" s="552">
        <v>71.268460759557442</v>
      </c>
      <c r="BM62" s="552">
        <v>73.544266715480589</v>
      </c>
      <c r="BN62" s="552">
        <v>73.237636663356497</v>
      </c>
      <c r="BO62" s="552">
        <v>72.650789855482628</v>
      </c>
      <c r="BP62" s="552">
        <v>72.762392170329136</v>
      </c>
      <c r="BQ62" s="552">
        <v>73.516672655612084</v>
      </c>
      <c r="BR62" s="552">
        <v>73.025035138789519</v>
      </c>
      <c r="BS62" s="552">
        <v>73.115678427633668</v>
      </c>
      <c r="BT62" s="552">
        <v>72.873022552185063</v>
      </c>
      <c r="BU62" s="553">
        <v>73.196784221221961</v>
      </c>
      <c r="BV62" s="553">
        <v>73.846377040488477</v>
      </c>
      <c r="BW62" s="553">
        <v>74.519002898293081</v>
      </c>
      <c r="BX62" s="554">
        <v>74.399889397822932</v>
      </c>
      <c r="BY62" s="591">
        <v>76.383103504698411</v>
      </c>
      <c r="BZ62" s="554">
        <v>75.286138288230518</v>
      </c>
      <c r="CA62" s="554">
        <v>75.497668754741099</v>
      </c>
      <c r="CB62" s="591">
        <v>74.791151829084058</v>
      </c>
      <c r="CC62" s="554">
        <v>75.07613588990489</v>
      </c>
      <c r="CD62" s="554">
        <v>75.293351608168251</v>
      </c>
      <c r="CE62" s="591">
        <v>75.810304820894132</v>
      </c>
      <c r="CF62" s="554">
        <v>75.700123665249933</v>
      </c>
      <c r="CG62" s="591">
        <v>76.423497441736174</v>
      </c>
      <c r="CH62" s="591">
        <v>76.975935330742018</v>
      </c>
      <c r="CI62" s="591">
        <v>77.563505926444037</v>
      </c>
      <c r="CJ62" s="591">
        <v>77.973536529160697</v>
      </c>
      <c r="CK62" s="591">
        <v>80.068834582561294</v>
      </c>
      <c r="CL62" s="786">
        <f>0.798682641881338*100</f>
        <v>79.868264188133793</v>
      </c>
      <c r="CM62" s="787">
        <f>0.796271021687418*100</f>
        <v>79.6271021687418</v>
      </c>
      <c r="CN62" s="787">
        <f>0.796040687622796*100</f>
        <v>79.604068762279596</v>
      </c>
      <c r="CO62" s="787">
        <f>0.79540246162255*100</f>
        <v>79.540246162255002</v>
      </c>
      <c r="CP62" s="788">
        <f>0.793715386548441*100</f>
        <v>79.371538654844102</v>
      </c>
      <c r="CQ62" s="382"/>
      <c r="CR62" s="527"/>
      <c r="CS62" s="526"/>
      <c r="CT62" s="293"/>
      <c r="CU62" s="299"/>
    </row>
    <row r="63" spans="1:99" ht="3.75" customHeight="1" x14ac:dyDescent="0.2">
      <c r="A63" s="227"/>
      <c r="B63" s="815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90"/>
      <c r="BZ63" s="525"/>
      <c r="CA63" s="525"/>
      <c r="CB63" s="590"/>
      <c r="CC63" s="525"/>
      <c r="CD63" s="525"/>
      <c r="CE63" s="590"/>
      <c r="CF63" s="525"/>
      <c r="CG63" s="590"/>
      <c r="CH63" s="590"/>
      <c r="CI63" s="590"/>
      <c r="CJ63" s="590"/>
      <c r="CK63" s="590"/>
      <c r="CL63" s="783"/>
      <c r="CM63" s="784"/>
      <c r="CN63" s="784"/>
      <c r="CO63" s="784"/>
      <c r="CP63" s="785"/>
      <c r="CQ63" s="382"/>
      <c r="CR63" s="527" t="s">
        <v>3</v>
      </c>
      <c r="CS63" s="526"/>
      <c r="CT63" s="293"/>
      <c r="CU63" s="299"/>
    </row>
    <row r="64" spans="1:99" x14ac:dyDescent="0.2">
      <c r="A64" s="227"/>
      <c r="B64" s="815"/>
      <c r="C64" s="17"/>
      <c r="D64" s="22" t="s">
        <v>190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7082.9866066166187</v>
      </c>
      <c r="CD64" s="396">
        <v>7343.472604591836</v>
      </c>
      <c r="CE64" s="358">
        <v>7541.0014777011666</v>
      </c>
      <c r="CF64" s="396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778">
        <v>8003.7499319781282</v>
      </c>
      <c r="CM64" s="463">
        <v>8000.0772409300243</v>
      </c>
      <c r="CN64" s="463">
        <v>7992.9812248804619</v>
      </c>
      <c r="CO64" s="463">
        <v>7995.2116129096175</v>
      </c>
      <c r="CP64" s="496">
        <v>7993.1147763279832</v>
      </c>
      <c r="CQ64" s="382">
        <f>+CP64-CK64</f>
        <v>-19.757093379007529</v>
      </c>
      <c r="CR64" s="527">
        <f>(+(CP64/CK64-1))*100</f>
        <v>-0.24656694503877308</v>
      </c>
      <c r="CS64" s="526"/>
      <c r="CT64" s="293"/>
      <c r="CU64" s="299"/>
    </row>
    <row r="65" spans="1:101" x14ac:dyDescent="0.2">
      <c r="A65" s="227"/>
      <c r="B65" s="815"/>
      <c r="C65" s="17"/>
      <c r="D65" s="489" t="s">
        <v>187</v>
      </c>
      <c r="E65" s="550">
        <v>27.726229875785002</v>
      </c>
      <c r="F65" s="551">
        <v>27.488318630119153</v>
      </c>
      <c r="G65" s="551">
        <v>27.458082221878477</v>
      </c>
      <c r="H65" s="551">
        <v>27.950040096179535</v>
      </c>
      <c r="I65" s="551">
        <v>27.597597098513404</v>
      </c>
      <c r="J65" s="551">
        <v>27.250104677887144</v>
      </c>
      <c r="K65" s="551">
        <v>28.087635839311403</v>
      </c>
      <c r="L65" s="551">
        <v>27.84294317299636</v>
      </c>
      <c r="M65" s="551">
        <v>28.449824701835901</v>
      </c>
      <c r="N65" s="551">
        <v>29.644222593728603</v>
      </c>
      <c r="O65" s="551">
        <v>32.016033238488561</v>
      </c>
      <c r="P65" s="551">
        <v>33.35300384184626</v>
      </c>
      <c r="Q65" s="551">
        <v>36.113295541145526</v>
      </c>
      <c r="R65" s="551">
        <v>36.565497571669098</v>
      </c>
      <c r="S65" s="551">
        <v>37.376328956608795</v>
      </c>
      <c r="T65" s="551">
        <v>38.100824945897514</v>
      </c>
      <c r="U65" s="551">
        <v>38.776672287369017</v>
      </c>
      <c r="V65" s="551">
        <v>39.094166727029474</v>
      </c>
      <c r="W65" s="551">
        <v>39.721494424172747</v>
      </c>
      <c r="X65" s="551">
        <v>40.391966789877557</v>
      </c>
      <c r="Y65" s="551">
        <v>41.385088881530102</v>
      </c>
      <c r="Z65" s="551">
        <v>43.382868474833543</v>
      </c>
      <c r="AA65" s="551">
        <v>44.206303294054571</v>
      </c>
      <c r="AB65" s="551">
        <v>45.973508213864669</v>
      </c>
      <c r="AC65" s="551">
        <v>47.595161135426224</v>
      </c>
      <c r="AD65" s="551">
        <v>48.803678883118145</v>
      </c>
      <c r="AE65" s="551">
        <v>49.705463548936258</v>
      </c>
      <c r="AF65" s="551">
        <v>50.829024579294845</v>
      </c>
      <c r="AG65" s="551">
        <v>51.393924119155088</v>
      </c>
      <c r="AH65" s="551">
        <v>52.535130162286578</v>
      </c>
      <c r="AI65" s="551">
        <v>53.741177822615882</v>
      </c>
      <c r="AJ65" s="551">
        <v>55.615327871973619</v>
      </c>
      <c r="AK65" s="551">
        <v>57.0723614458716</v>
      </c>
      <c r="AL65" s="551">
        <v>59.104882283193064</v>
      </c>
      <c r="AM65" s="551">
        <v>60.190789262031345</v>
      </c>
      <c r="AN65" s="551">
        <v>61.50007861887201</v>
      </c>
      <c r="AO65" s="552">
        <v>62.347023045736648</v>
      </c>
      <c r="AP65" s="552">
        <v>64.0324397471353</v>
      </c>
      <c r="AQ65" s="552">
        <v>65.639290035572884</v>
      </c>
      <c r="AR65" s="552">
        <v>67.598161926596077</v>
      </c>
      <c r="AS65" s="552">
        <v>69.109874730849555</v>
      </c>
      <c r="AT65" s="552">
        <v>70.864662563196831</v>
      </c>
      <c r="AU65" s="552">
        <v>72.052709741719028</v>
      </c>
      <c r="AV65" s="552">
        <v>73.164203824225964</v>
      </c>
      <c r="AW65" s="552">
        <v>74.163132875471618</v>
      </c>
      <c r="AX65" s="552">
        <v>75.065161119103209</v>
      </c>
      <c r="AY65" s="552">
        <v>75.859386981108855</v>
      </c>
      <c r="AZ65" s="552">
        <v>76.760020879424999</v>
      </c>
      <c r="BA65" s="552">
        <v>77.566755521160616</v>
      </c>
      <c r="BB65" s="552">
        <v>78.053612005737264</v>
      </c>
      <c r="BC65" s="552">
        <v>78.813252454800079</v>
      </c>
      <c r="BD65" s="552">
        <v>79.59137676323958</v>
      </c>
      <c r="BE65" s="552">
        <v>80.362984400328713</v>
      </c>
      <c r="BF65" s="552">
        <v>81.566248680036551</v>
      </c>
      <c r="BG65" s="552">
        <v>82.401606575673483</v>
      </c>
      <c r="BH65" s="552">
        <v>83.294793710472547</v>
      </c>
      <c r="BI65" s="552">
        <v>84.163004065730433</v>
      </c>
      <c r="BJ65" s="552">
        <v>84.992356713831356</v>
      </c>
      <c r="BK65" s="552">
        <v>85.298792015754856</v>
      </c>
      <c r="BL65" s="552">
        <v>85.705752773291479</v>
      </c>
      <c r="BM65" s="552">
        <v>86.106880339804988</v>
      </c>
      <c r="BN65" s="552">
        <v>86.297077949785731</v>
      </c>
      <c r="BO65" s="552">
        <v>86.535623575225159</v>
      </c>
      <c r="BP65" s="552">
        <v>86.707331062857207</v>
      </c>
      <c r="BQ65" s="552">
        <v>86.898367482853573</v>
      </c>
      <c r="BR65" s="552">
        <v>87.435753291397788</v>
      </c>
      <c r="BS65" s="552">
        <v>88.072972228339736</v>
      </c>
      <c r="BT65" s="552">
        <v>88.53583836263897</v>
      </c>
      <c r="BU65" s="553">
        <v>88.849449387117687</v>
      </c>
      <c r="BV65" s="553">
        <v>89.120430988952776</v>
      </c>
      <c r="BW65" s="553">
        <v>89.548873426334438</v>
      </c>
      <c r="BX65" s="554">
        <v>89.840862940864866</v>
      </c>
      <c r="BY65" s="591">
        <v>90.404459147841465</v>
      </c>
      <c r="BZ65" s="554">
        <v>90.68787959099069</v>
      </c>
      <c r="CA65" s="554">
        <v>90.87911557015974</v>
      </c>
      <c r="CB65" s="591">
        <v>91.02944057135231</v>
      </c>
      <c r="CC65" s="554">
        <v>91.115965350746293</v>
      </c>
      <c r="CD65" s="554">
        <v>91.557818450515143</v>
      </c>
      <c r="CE65" s="591">
        <v>91.693686600294285</v>
      </c>
      <c r="CF65" s="554">
        <v>91.898667388181863</v>
      </c>
      <c r="CG65" s="591">
        <v>92.043520619315942</v>
      </c>
      <c r="CH65" s="591">
        <v>92.175412668997865</v>
      </c>
      <c r="CI65" s="591">
        <v>92.253971680846377</v>
      </c>
      <c r="CJ65" s="591">
        <v>92.192109813328798</v>
      </c>
      <c r="CK65" s="591">
        <v>92.335103473795698</v>
      </c>
      <c r="CL65" s="786">
        <f>0.923490809738667*100</f>
        <v>92.349080973866705</v>
      </c>
      <c r="CM65" s="787">
        <f>0.923346091181301*100</f>
        <v>92.334609118130089</v>
      </c>
      <c r="CN65" s="787">
        <f>0.92327673978871*100</f>
        <v>92.327673978871005</v>
      </c>
      <c r="CO65" s="787">
        <f>0.923472687745568*100</f>
        <v>92.347268774556795</v>
      </c>
      <c r="CP65" s="788">
        <f>0.923510233280685*100</f>
        <v>92.351023328068507</v>
      </c>
      <c r="CQ65" s="382"/>
      <c r="CR65" s="527"/>
      <c r="CS65" s="526"/>
      <c r="CT65" s="293"/>
      <c r="CU65" s="299"/>
    </row>
    <row r="66" spans="1:101" ht="3" customHeight="1" x14ac:dyDescent="0.2">
      <c r="A66" s="227"/>
      <c r="B66" s="815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6"/>
      <c r="BY66" s="358"/>
      <c r="BZ66" s="396"/>
      <c r="CA66" s="396"/>
      <c r="CB66" s="358"/>
      <c r="CC66" s="396"/>
      <c r="CD66" s="396"/>
      <c r="CE66" s="358"/>
      <c r="CF66" s="396"/>
      <c r="CG66" s="358"/>
      <c r="CH66" s="358"/>
      <c r="CI66" s="358"/>
      <c r="CJ66" s="358"/>
      <c r="CK66" s="358"/>
      <c r="CL66" s="778"/>
      <c r="CM66" s="463"/>
      <c r="CN66" s="463"/>
      <c r="CO66" s="463"/>
      <c r="CP66" s="496"/>
      <c r="CQ66" s="382"/>
      <c r="CR66" s="527"/>
      <c r="CS66" s="526"/>
      <c r="CT66" s="293"/>
      <c r="CU66" s="299"/>
    </row>
    <row r="67" spans="1:101" x14ac:dyDescent="0.2">
      <c r="A67" s="227"/>
      <c r="B67" s="815"/>
      <c r="C67" s="17"/>
      <c r="D67" s="22" t="s">
        <v>191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502.41885803206992</v>
      </c>
      <c r="CD67" s="396">
        <v>484.47723956559776</v>
      </c>
      <c r="CE67" s="358">
        <v>485.53255023032057</v>
      </c>
      <c r="CF67" s="396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778">
        <v>573.27442101422537</v>
      </c>
      <c r="CM67" s="463">
        <v>581.37819315999798</v>
      </c>
      <c r="CN67" s="463">
        <v>572.47116665270948</v>
      </c>
      <c r="CO67" s="463">
        <v>572.66737717457522</v>
      </c>
      <c r="CP67" s="496">
        <v>567.95689590052257</v>
      </c>
      <c r="CQ67" s="382">
        <f>+CP67-CK67</f>
        <v>-3.4613349854229227</v>
      </c>
      <c r="CR67" s="527">
        <f>(+(CP67/CK67-1))*100</f>
        <v>-0.60574458397246733</v>
      </c>
      <c r="CS67" s="526"/>
      <c r="CT67" s="293"/>
      <c r="CU67" s="299"/>
    </row>
    <row r="68" spans="1:101" ht="12.75" customHeight="1" x14ac:dyDescent="0.2">
      <c r="A68" s="227"/>
      <c r="B68" s="815"/>
      <c r="C68" s="17"/>
      <c r="D68" s="489" t="s">
        <v>187</v>
      </c>
      <c r="E68" s="550">
        <v>29.608725951431719</v>
      </c>
      <c r="F68" s="551">
        <v>29.982314879707221</v>
      </c>
      <c r="G68" s="551">
        <v>29.10871909184284</v>
      </c>
      <c r="H68" s="551">
        <v>25.325194831620745</v>
      </c>
      <c r="I68" s="551">
        <v>29.337065971699726</v>
      </c>
      <c r="J68" s="551">
        <v>25.413734907762723</v>
      </c>
      <c r="K68" s="551">
        <v>36.125562689101329</v>
      </c>
      <c r="L68" s="551">
        <v>33.753248787141729</v>
      </c>
      <c r="M68" s="551">
        <v>26.003375728121746</v>
      </c>
      <c r="N68" s="551">
        <v>36.150484698156845</v>
      </c>
      <c r="O68" s="551">
        <v>32.051945241635131</v>
      </c>
      <c r="P68" s="551">
        <v>37.568973260565095</v>
      </c>
      <c r="Q68" s="551">
        <v>33.300094505160288</v>
      </c>
      <c r="R68" s="551">
        <v>41.015211045997766</v>
      </c>
      <c r="S68" s="551">
        <v>35.217164730836252</v>
      </c>
      <c r="T68" s="551">
        <v>34.805092083168454</v>
      </c>
      <c r="U68" s="551">
        <v>35.248688179698405</v>
      </c>
      <c r="V68" s="551">
        <v>37.984396950735359</v>
      </c>
      <c r="W68" s="551">
        <v>35.051326609730523</v>
      </c>
      <c r="X68" s="551">
        <v>34.571407331737092</v>
      </c>
      <c r="Y68" s="551">
        <v>40.805673344128309</v>
      </c>
      <c r="Z68" s="551">
        <v>39.245893166712492</v>
      </c>
      <c r="AA68" s="551">
        <v>32.869212830342761</v>
      </c>
      <c r="AB68" s="551">
        <v>38.230594090884942</v>
      </c>
      <c r="AC68" s="551">
        <v>37.470745567076619</v>
      </c>
      <c r="AD68" s="551">
        <v>36.777092579676427</v>
      </c>
      <c r="AE68" s="551">
        <v>37.325811476374483</v>
      </c>
      <c r="AF68" s="551">
        <v>37.370450314426677</v>
      </c>
      <c r="AG68" s="551">
        <v>44.746327550562455</v>
      </c>
      <c r="AH68" s="551">
        <v>39.131425037896797</v>
      </c>
      <c r="AI68" s="551">
        <v>44.087644264850375</v>
      </c>
      <c r="AJ68" s="551">
        <v>40.100579164462566</v>
      </c>
      <c r="AK68" s="551">
        <v>39.42991972955241</v>
      </c>
      <c r="AL68" s="551">
        <v>40.845236656628792</v>
      </c>
      <c r="AM68" s="551">
        <v>49.584347280466602</v>
      </c>
      <c r="AN68" s="551">
        <v>50.455696913299896</v>
      </c>
      <c r="AO68" s="552">
        <v>58.608036943807164</v>
      </c>
      <c r="AP68" s="552">
        <v>58.339067857931624</v>
      </c>
      <c r="AQ68" s="552">
        <v>58.581650319176369</v>
      </c>
      <c r="AR68" s="552">
        <v>58.371894458164078</v>
      </c>
      <c r="AS68" s="552">
        <v>58.110520200614467</v>
      </c>
      <c r="AT68" s="552">
        <v>58.854996624132916</v>
      </c>
      <c r="AU68" s="552">
        <v>59.596084814168968</v>
      </c>
      <c r="AV68" s="552">
        <v>59.768941976268188</v>
      </c>
      <c r="AW68" s="552">
        <v>62.993185278390762</v>
      </c>
      <c r="AX68" s="552">
        <v>64.369198381571266</v>
      </c>
      <c r="AY68" s="552">
        <v>68.13478913480445</v>
      </c>
      <c r="AZ68" s="552">
        <v>69.439463645575586</v>
      </c>
      <c r="BA68" s="552">
        <v>70.81904509240195</v>
      </c>
      <c r="BB68" s="552">
        <v>72.043568279043029</v>
      </c>
      <c r="BC68" s="552">
        <v>72.526230116597034</v>
      </c>
      <c r="BD68" s="552">
        <v>73.719885384619857</v>
      </c>
      <c r="BE68" s="552">
        <v>75.74383979358592</v>
      </c>
      <c r="BF68" s="552">
        <v>70.749886130043279</v>
      </c>
      <c r="BG68" s="552">
        <v>71.340213120718715</v>
      </c>
      <c r="BH68" s="552">
        <v>70.567153237013173</v>
      </c>
      <c r="BI68" s="552">
        <v>71.64581749353664</v>
      </c>
      <c r="BJ68" s="552">
        <v>67.770944749219524</v>
      </c>
      <c r="BK68" s="552">
        <v>69.390923102800784</v>
      </c>
      <c r="BL68" s="552">
        <v>70.532599535105021</v>
      </c>
      <c r="BM68" s="552">
        <v>71.592959802047517</v>
      </c>
      <c r="BN68" s="552">
        <v>71.231021100407744</v>
      </c>
      <c r="BO68" s="552">
        <v>71.30459376162591</v>
      </c>
      <c r="BP68" s="552">
        <v>71.066773054539226</v>
      </c>
      <c r="BQ68" s="552">
        <v>70.45254225565435</v>
      </c>
      <c r="BR68" s="552">
        <v>70.951084854575285</v>
      </c>
      <c r="BS68" s="552">
        <v>71.411213777394195</v>
      </c>
      <c r="BT68" s="552">
        <v>71.8324348630006</v>
      </c>
      <c r="BU68" s="553">
        <v>71.9801962953957</v>
      </c>
      <c r="BV68" s="553">
        <v>73.643670141190611</v>
      </c>
      <c r="BW68" s="553">
        <v>74.857590919774523</v>
      </c>
      <c r="BX68" s="554">
        <v>73.106915526919863</v>
      </c>
      <c r="BY68" s="591">
        <v>70.562571185231036</v>
      </c>
      <c r="BZ68" s="554">
        <v>72.341495244934762</v>
      </c>
      <c r="CA68" s="554">
        <v>69.641703464956464</v>
      </c>
      <c r="CB68" s="591">
        <v>69.290827385703778</v>
      </c>
      <c r="CC68" s="554">
        <v>69.872571079222794</v>
      </c>
      <c r="CD68" s="554">
        <v>70.912588254552659</v>
      </c>
      <c r="CE68" s="591">
        <v>71.352690517633434</v>
      </c>
      <c r="CF68" s="554">
        <v>69.755908457809014</v>
      </c>
      <c r="CG68" s="591">
        <v>71.916706633924079</v>
      </c>
      <c r="CH68" s="591">
        <v>73.11722182993941</v>
      </c>
      <c r="CI68" s="591">
        <v>74.908590118808121</v>
      </c>
      <c r="CJ68" s="591">
        <v>74.414566198457592</v>
      </c>
      <c r="CK68" s="591">
        <v>75.315695408244395</v>
      </c>
      <c r="CL68" s="786">
        <f>0.754497895493053*100</f>
        <v>75.449789549305308</v>
      </c>
      <c r="CM68" s="787">
        <f>0.757476343418097*100</f>
        <v>75.7476343418097</v>
      </c>
      <c r="CN68" s="787">
        <f>0.754461369314043*100</f>
        <v>75.446136931404297</v>
      </c>
      <c r="CO68" s="787">
        <f>0.75564564762031*100</f>
        <v>75.564564762030997</v>
      </c>
      <c r="CP68" s="788">
        <f>0.75864169074864*100</f>
        <v>75.864169074863995</v>
      </c>
      <c r="CQ68" s="382"/>
      <c r="CR68" s="527"/>
      <c r="CS68" s="526"/>
      <c r="CT68" s="293"/>
      <c r="CU68" s="299"/>
    </row>
    <row r="69" spans="1:101" s="476" customFormat="1" ht="4.5" customHeight="1" x14ac:dyDescent="0.2">
      <c r="A69" s="227"/>
      <c r="B69" s="815"/>
      <c r="C69" s="477"/>
      <c r="D69" s="22"/>
      <c r="E69" s="487"/>
      <c r="F69" s="478"/>
      <c r="G69" s="478"/>
      <c r="H69" s="478"/>
      <c r="I69" s="478"/>
      <c r="J69" s="478"/>
      <c r="K69" s="478"/>
      <c r="L69" s="478"/>
      <c r="M69" s="479"/>
      <c r="N69" s="478"/>
      <c r="O69" s="478"/>
      <c r="P69" s="479"/>
      <c r="Q69" s="478"/>
      <c r="R69" s="478"/>
      <c r="S69" s="480"/>
      <c r="T69" s="481"/>
      <c r="U69" s="480"/>
      <c r="V69" s="480"/>
      <c r="W69" s="480"/>
      <c r="X69" s="481"/>
      <c r="Y69" s="481"/>
      <c r="Z69" s="480"/>
      <c r="AA69" s="480"/>
      <c r="AB69" s="480"/>
      <c r="AC69" s="481"/>
      <c r="AD69" s="480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2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2"/>
      <c r="BK69" s="481"/>
      <c r="BL69" s="483"/>
      <c r="BM69" s="481"/>
      <c r="BN69" s="481"/>
      <c r="BO69" s="481"/>
      <c r="BP69" s="481"/>
      <c r="BQ69" s="481"/>
      <c r="BR69" s="481"/>
      <c r="BS69" s="483"/>
      <c r="BT69" s="481"/>
      <c r="BU69" s="495"/>
      <c r="BV69" s="495"/>
      <c r="BW69" s="495"/>
      <c r="BX69" s="495"/>
      <c r="BY69" s="481"/>
      <c r="BZ69" s="495"/>
      <c r="CA69" s="495"/>
      <c r="CB69" s="481"/>
      <c r="CC69" s="495"/>
      <c r="CD69" s="495"/>
      <c r="CE69" s="481"/>
      <c r="CF69" s="495"/>
      <c r="CG69" s="481"/>
      <c r="CH69" s="481"/>
      <c r="CI69" s="481"/>
      <c r="CJ69" s="481"/>
      <c r="CK69" s="481"/>
      <c r="CL69" s="482"/>
      <c r="CM69" s="483"/>
      <c r="CN69" s="483"/>
      <c r="CO69" s="483"/>
      <c r="CP69" s="495"/>
      <c r="CQ69" s="624"/>
      <c r="CR69" s="532"/>
      <c r="CS69" s="526"/>
      <c r="CT69" s="293"/>
      <c r="CU69" s="484"/>
    </row>
    <row r="70" spans="1:101" ht="12.75" customHeight="1" x14ac:dyDescent="0.2">
      <c r="A70" s="227"/>
      <c r="B70" s="815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78">
        <v>6526.1686984734697</v>
      </c>
      <c r="CM70" s="463">
        <v>6524.5286237270893</v>
      </c>
      <c r="CN70" s="463">
        <v>6492.4035635311538</v>
      </c>
      <c r="CO70" s="463">
        <v>6485.6587280138019</v>
      </c>
      <c r="CP70" s="496">
        <v>6576.1847335644597</v>
      </c>
      <c r="CQ70" s="382">
        <f t="shared" ref="CQ70:CQ77" si="22">+CP70-CK70</f>
        <v>61.188135378508377</v>
      </c>
      <c r="CR70" s="527">
        <f t="shared" ref="CR70:CR77" si="23">(+(CP70/CK70-1))*100</f>
        <v>0.93918906105869837</v>
      </c>
      <c r="CS70" s="526"/>
      <c r="CT70" s="293"/>
      <c r="CU70" s="299"/>
    </row>
    <row r="71" spans="1:101" x14ac:dyDescent="0.2">
      <c r="A71" s="227"/>
      <c r="B71" s="81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78">
        <v>3237.5147583870271</v>
      </c>
      <c r="CM71" s="463">
        <v>3226.2032028913986</v>
      </c>
      <c r="CN71" s="463">
        <v>3205.1284146494158</v>
      </c>
      <c r="CO71" s="463">
        <v>3199.1229235685128</v>
      </c>
      <c r="CP71" s="496">
        <v>3300.4772640182209</v>
      </c>
      <c r="CQ71" s="382">
        <f t="shared" si="22"/>
        <v>88.634020827259974</v>
      </c>
      <c r="CR71" s="527">
        <f t="shared" si="23"/>
        <v>2.7595998346171546</v>
      </c>
      <c r="CS71" s="526"/>
      <c r="CT71" s="293"/>
      <c r="CU71" s="299"/>
    </row>
    <row r="72" spans="1:101" ht="15" x14ac:dyDescent="0.25">
      <c r="A72" s="227"/>
      <c r="B72" s="81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78">
        <v>636.9356508309038</v>
      </c>
      <c r="CM72" s="463">
        <v>658.6847434358599</v>
      </c>
      <c r="CN72" s="463">
        <v>658.68591099125365</v>
      </c>
      <c r="CO72" s="463">
        <v>658.69136242128275</v>
      </c>
      <c r="CP72" s="496">
        <v>658.69498801166162</v>
      </c>
      <c r="CQ72" s="382">
        <f t="shared" si="22"/>
        <v>21.77234051749258</v>
      </c>
      <c r="CR72" s="527">
        <f t="shared" si="23"/>
        <v>3.4183649463794374</v>
      </c>
      <c r="CS72" s="526"/>
      <c r="CT72" s="293"/>
      <c r="CU72" s="766">
        <v>2362.7015928869205</v>
      </c>
      <c r="CV72">
        <v>6.86</v>
      </c>
      <c r="CW72">
        <f>+CU72/$CV$72</f>
        <v>344.41714182025078</v>
      </c>
    </row>
    <row r="73" spans="1:101" ht="15" x14ac:dyDescent="0.25">
      <c r="A73" s="227"/>
      <c r="B73" s="81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78">
        <v>891.47844682553955</v>
      </c>
      <c r="CM73" s="463">
        <v>882.53762096983075</v>
      </c>
      <c r="CN73" s="463">
        <v>871.48053295048373</v>
      </c>
      <c r="CO73" s="463">
        <v>870.64536071400585</v>
      </c>
      <c r="CP73" s="496">
        <v>859.72019957457735</v>
      </c>
      <c r="CQ73" s="382">
        <f t="shared" si="22"/>
        <v>-46.181587896244764</v>
      </c>
      <c r="CR73" s="527">
        <f t="shared" si="23"/>
        <v>-5.097858127113164</v>
      </c>
      <c r="CS73" s="526"/>
      <c r="CT73" s="293"/>
      <c r="CU73" s="766">
        <v>2493.2569120313192</v>
      </c>
      <c r="CW73">
        <f t="shared" ref="CW73:CW75" si="24">+CU73/$CV$72</f>
        <v>363.44852945062962</v>
      </c>
    </row>
    <row r="74" spans="1:101" ht="15" x14ac:dyDescent="0.25">
      <c r="A74" s="227"/>
      <c r="B74" s="81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78">
        <v>1760.23984243</v>
      </c>
      <c r="CM74" s="463">
        <v>1757.1030564299997</v>
      </c>
      <c r="CN74" s="463">
        <v>1757.1087049400001</v>
      </c>
      <c r="CO74" s="463">
        <v>1757.1990813099999</v>
      </c>
      <c r="CP74" s="496">
        <v>1757.2922819600001</v>
      </c>
      <c r="CQ74" s="382">
        <f t="shared" si="22"/>
        <v>-3.0366380699997535</v>
      </c>
      <c r="CR74" s="527">
        <f t="shared" si="23"/>
        <v>-0.17250401532618032</v>
      </c>
      <c r="CS74" s="526"/>
      <c r="CT74" s="293"/>
      <c r="CU74" s="766">
        <v>2525.10481538468</v>
      </c>
      <c r="CW74">
        <f t="shared" si="24"/>
        <v>368.09108095986585</v>
      </c>
    </row>
    <row r="75" spans="1:101" ht="15" x14ac:dyDescent="0.25">
      <c r="A75" s="227"/>
      <c r="B75" s="815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4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78">
        <v>2759.5058987123712</v>
      </c>
      <c r="CM75" s="463">
        <v>2735.1748530980985</v>
      </c>
      <c r="CN75" s="463">
        <v>2697.9482655421912</v>
      </c>
      <c r="CO75" s="463">
        <v>2669.3074760212558</v>
      </c>
      <c r="CP75" s="496">
        <v>2759.7354101411343</v>
      </c>
      <c r="CQ75" s="382">
        <f t="shared" si="22"/>
        <v>12.282727102907302</v>
      </c>
      <c r="CR75" s="527">
        <f t="shared" si="23"/>
        <v>0.44705873111978711</v>
      </c>
      <c r="CS75" s="526"/>
      <c r="CT75" s="293"/>
      <c r="CU75" s="766">
        <v>2672.8627946370407</v>
      </c>
      <c r="CW75">
        <f t="shared" si="24"/>
        <v>389.63014499082226</v>
      </c>
    </row>
    <row r="76" spans="1:101" x14ac:dyDescent="0.2">
      <c r="A76" s="227"/>
      <c r="B76" s="81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4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78">
        <v>2384.3142427368316</v>
      </c>
      <c r="CM76" s="463">
        <v>2369.8903983682681</v>
      </c>
      <c r="CN76" s="463">
        <v>2343.4653888417074</v>
      </c>
      <c r="CO76" s="463">
        <v>2314.98080201725</v>
      </c>
      <c r="CP76" s="496">
        <v>2416.3339021065567</v>
      </c>
      <c r="CQ76" s="382">
        <f t="shared" si="22"/>
        <v>58.511364059151674</v>
      </c>
      <c r="CR76" s="527">
        <f t="shared" si="23"/>
        <v>2.481584729765407</v>
      </c>
      <c r="CS76" s="526"/>
      <c r="CT76" s="293"/>
      <c r="CU76" s="299"/>
    </row>
    <row r="77" spans="1:101" x14ac:dyDescent="0.2">
      <c r="A77" s="227"/>
      <c r="B77" s="81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4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78">
        <v>375.1916559755395</v>
      </c>
      <c r="CM77" s="463">
        <v>365.28445472983088</v>
      </c>
      <c r="CN77" s="463">
        <v>354.4828767004837</v>
      </c>
      <c r="CO77" s="463">
        <v>354.32667400400584</v>
      </c>
      <c r="CP77" s="496">
        <v>343.40150803457732</v>
      </c>
      <c r="CQ77" s="382">
        <f t="shared" si="22"/>
        <v>-46.228636956244941</v>
      </c>
      <c r="CR77" s="527">
        <f t="shared" si="23"/>
        <v>-11.864748544375036</v>
      </c>
      <c r="CS77" s="526"/>
      <c r="CT77" s="293"/>
      <c r="CU77" s="299"/>
    </row>
    <row r="78" spans="1:101" ht="12.75" hidden="1" customHeight="1" outlineLevel="1" x14ac:dyDescent="0.2">
      <c r="A78" s="227"/>
      <c r="B78" s="81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728">
        <v>0</v>
      </c>
      <c r="CM78" s="468">
        <v>0</v>
      </c>
      <c r="CN78" s="468">
        <v>0</v>
      </c>
      <c r="CO78" s="468">
        <v>0</v>
      </c>
      <c r="CP78" s="497">
        <v>0</v>
      </c>
      <c r="CQ78" s="382"/>
      <c r="CR78" s="527">
        <v>0</v>
      </c>
      <c r="CS78" s="526"/>
      <c r="CT78" s="293"/>
      <c r="CU78" s="299"/>
    </row>
    <row r="79" spans="1:101" collapsed="1" x14ac:dyDescent="0.2">
      <c r="A79" s="227"/>
      <c r="B79" s="815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16490.254496063491</v>
      </c>
      <c r="CK79" s="454">
        <v>16802.33312104745</v>
      </c>
      <c r="CL79" s="778">
        <v>16746.596389579525</v>
      </c>
      <c r="CM79" s="463">
        <v>16736.209756201966</v>
      </c>
      <c r="CN79" s="463">
        <v>16723.969908438125</v>
      </c>
      <c r="CO79" s="463">
        <v>16710.970313318587</v>
      </c>
      <c r="CP79" s="463">
        <v>16697.736462379813</v>
      </c>
      <c r="CQ79" s="382">
        <f>+CP79-CK79</f>
        <v>-104.5966586676368</v>
      </c>
      <c r="CR79" s="527">
        <f>(+(CP79/CK79-1))*100</f>
        <v>-0.62251270650391932</v>
      </c>
      <c r="CS79" s="526"/>
      <c r="CT79" s="293"/>
      <c r="CU79" s="299"/>
    </row>
    <row r="80" spans="1:101" ht="12.75" hidden="1" customHeight="1" x14ac:dyDescent="0.2">
      <c r="A80" s="227"/>
      <c r="B80" s="81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9"/>
      <c r="CM80" s="524"/>
      <c r="CN80" s="524">
        <v>14355.068793996428</v>
      </c>
      <c r="CO80" s="524">
        <v>14355.068793996428</v>
      </c>
      <c r="CP80" s="613"/>
      <c r="CQ80" s="382">
        <f>+(CP80-CK80)*100</f>
        <v>-1435506.8793996428</v>
      </c>
      <c r="CR80" s="527" t="s">
        <v>3</v>
      </c>
      <c r="CS80" s="526"/>
      <c r="CT80" s="293"/>
      <c r="CU80" s="299"/>
    </row>
    <row r="81" spans="1:99" x14ac:dyDescent="0.2">
      <c r="A81" s="227"/>
      <c r="B81" s="815"/>
      <c r="C81" s="19"/>
      <c r="D81" s="489" t="s">
        <v>187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95.250777919563561</v>
      </c>
      <c r="CL81" s="779">
        <v>95.238865993320104</v>
      </c>
      <c r="CM81" s="608">
        <v>95.241910219559671</v>
      </c>
      <c r="CN81" s="608">
        <v>95.242049647661617</v>
      </c>
      <c r="CO81" s="608">
        <v>95.247378437755899</v>
      </c>
      <c r="CP81" s="608">
        <v>95.24982756105949</v>
      </c>
      <c r="CQ81" s="382">
        <f>+CP81-CK81</f>
        <v>-9.5035850407043654E-4</v>
      </c>
      <c r="CR81" s="527"/>
      <c r="CS81" s="526"/>
      <c r="CT81" s="293"/>
      <c r="CU81" s="299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394"/>
      <c r="CM82" s="357"/>
      <c r="CN82" s="357"/>
      <c r="CO82" s="357"/>
      <c r="CP82" s="409"/>
      <c r="CQ82" s="622"/>
      <c r="CR82" s="533"/>
      <c r="CS82" s="526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5">+J84+0.1</f>
        <v>7.0699999999999994</v>
      </c>
      <c r="K83" s="138">
        <f t="shared" si="25"/>
        <v>7.0699999999999994</v>
      </c>
      <c r="L83" s="131">
        <f t="shared" si="25"/>
        <v>7.0699999999999994</v>
      </c>
      <c r="M83" s="132">
        <f t="shared" si="25"/>
        <v>7.0699999999999994</v>
      </c>
      <c r="N83" s="138">
        <f t="shared" si="25"/>
        <v>7.0699999999999994</v>
      </c>
      <c r="O83" s="138">
        <f t="shared" si="25"/>
        <v>7.0699999999999994</v>
      </c>
      <c r="P83" s="179">
        <v>7.07</v>
      </c>
      <c r="Q83" s="138">
        <f t="shared" ref="Q83:Y83" si="26">+Q84+0.1</f>
        <v>7.0699999999999994</v>
      </c>
      <c r="R83" s="138">
        <f t="shared" si="26"/>
        <v>7.0699999999999994</v>
      </c>
      <c r="S83" s="199">
        <f t="shared" si="26"/>
        <v>7.0699999999999994</v>
      </c>
      <c r="T83" s="199">
        <f t="shared" si="26"/>
        <v>7.0699999999999994</v>
      </c>
      <c r="U83" s="199">
        <f t="shared" si="26"/>
        <v>7.0699999999999994</v>
      </c>
      <c r="V83" s="199">
        <f t="shared" si="26"/>
        <v>7.0699999999999994</v>
      </c>
      <c r="W83" s="199">
        <f t="shared" si="26"/>
        <v>7.0699999999999994</v>
      </c>
      <c r="X83" s="199">
        <f t="shared" si="26"/>
        <v>7.0699999999999994</v>
      </c>
      <c r="Y83" s="199">
        <f t="shared" si="26"/>
        <v>7.0699999999999994</v>
      </c>
      <c r="Z83" s="199">
        <f t="shared" ref="Z83:AH83" si="27">+Z84+0.1</f>
        <v>7.0699999999999994</v>
      </c>
      <c r="AA83" s="199">
        <f t="shared" si="27"/>
        <v>7.0699999999999994</v>
      </c>
      <c r="AB83" s="199">
        <f t="shared" si="27"/>
        <v>7.06</v>
      </c>
      <c r="AC83" s="199">
        <f t="shared" si="27"/>
        <v>7.04</v>
      </c>
      <c r="AD83" s="199">
        <f t="shared" si="27"/>
        <v>7.04</v>
      </c>
      <c r="AE83" s="199">
        <f t="shared" si="27"/>
        <v>7.02</v>
      </c>
      <c r="AF83" s="199">
        <f t="shared" si="27"/>
        <v>7</v>
      </c>
      <c r="AG83" s="199">
        <f t="shared" si="27"/>
        <v>6.9899999999999993</v>
      </c>
      <c r="AH83" s="199">
        <f t="shared" si="27"/>
        <v>6.9899999999999993</v>
      </c>
      <c r="AI83" s="199">
        <f t="shared" ref="AI83:CO83" si="28">+AI84+0.1</f>
        <v>6.9799999999999995</v>
      </c>
      <c r="AJ83" s="199">
        <f t="shared" si="28"/>
        <v>6.97</v>
      </c>
      <c r="AK83" s="199">
        <v>6.97</v>
      </c>
      <c r="AL83" s="199">
        <f t="shared" si="28"/>
        <v>6.97</v>
      </c>
      <c r="AM83" s="199">
        <f t="shared" si="28"/>
        <v>6.97</v>
      </c>
      <c r="AN83" s="199">
        <f t="shared" si="28"/>
        <v>6.96</v>
      </c>
      <c r="AO83" s="199">
        <f t="shared" si="28"/>
        <v>6.96</v>
      </c>
      <c r="AP83" s="199">
        <f t="shared" si="28"/>
        <v>6.96</v>
      </c>
      <c r="AQ83" s="199">
        <f t="shared" si="28"/>
        <v>6.96</v>
      </c>
      <c r="AR83" s="199">
        <f t="shared" si="28"/>
        <v>6.96</v>
      </c>
      <c r="AS83" s="199">
        <f t="shared" si="28"/>
        <v>6.96</v>
      </c>
      <c r="AT83" s="199">
        <f t="shared" si="28"/>
        <v>6.96</v>
      </c>
      <c r="AU83" s="367">
        <f>+AU84+0.1</f>
        <v>6.96</v>
      </c>
      <c r="AV83" s="395">
        <f t="shared" si="28"/>
        <v>6.96</v>
      </c>
      <c r="AW83" s="199">
        <f>+AW84+0.1</f>
        <v>6.96</v>
      </c>
      <c r="AX83" s="199">
        <f>+AX84+0.1</f>
        <v>6.96</v>
      </c>
      <c r="AY83" s="199">
        <f t="shared" si="28"/>
        <v>6.96</v>
      </c>
      <c r="AZ83" s="199">
        <f t="shared" si="28"/>
        <v>6.96</v>
      </c>
      <c r="BA83" s="199">
        <f t="shared" si="28"/>
        <v>6.96</v>
      </c>
      <c r="BB83" s="199">
        <f t="shared" si="28"/>
        <v>6.96</v>
      </c>
      <c r="BC83" s="199">
        <f t="shared" si="28"/>
        <v>6.96</v>
      </c>
      <c r="BD83" s="199">
        <f t="shared" si="28"/>
        <v>6.96</v>
      </c>
      <c r="BE83" s="199">
        <f t="shared" si="28"/>
        <v>6.96</v>
      </c>
      <c r="BF83" s="199">
        <f>+BF84+0.1</f>
        <v>6.96</v>
      </c>
      <c r="BG83" s="199">
        <f>+BG84+0.1</f>
        <v>6.96</v>
      </c>
      <c r="BH83" s="199">
        <f t="shared" si="28"/>
        <v>6.96</v>
      </c>
      <c r="BI83" s="199">
        <f>+BI84+0.1</f>
        <v>6.96</v>
      </c>
      <c r="BJ83" s="199">
        <f>+BJ84+0.1</f>
        <v>6.96</v>
      </c>
      <c r="BK83" s="199">
        <f t="shared" si="28"/>
        <v>6.96</v>
      </c>
      <c r="BL83" s="452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8"/>
        <v>6.96</v>
      </c>
      <c r="BQ83" s="367">
        <f t="shared" si="28"/>
        <v>6.96</v>
      </c>
      <c r="BR83" s="367">
        <f>+BR84+0.1</f>
        <v>6.96</v>
      </c>
      <c r="BS83" s="460">
        <f t="shared" si="28"/>
        <v>6.96</v>
      </c>
      <c r="BT83" s="367">
        <f t="shared" si="28"/>
        <v>6.96</v>
      </c>
      <c r="BU83" s="461">
        <f>+BU84+0.1</f>
        <v>6.96</v>
      </c>
      <c r="BV83" s="461">
        <f t="shared" si="28"/>
        <v>6.96</v>
      </c>
      <c r="BW83" s="461">
        <f>+BW84+0.1</f>
        <v>6.96</v>
      </c>
      <c r="BX83" s="461">
        <f>+BX84+0.1</f>
        <v>6.96</v>
      </c>
      <c r="BY83" s="367">
        <f t="shared" si="28"/>
        <v>6.96</v>
      </c>
      <c r="BZ83" s="461">
        <f>+BZ84+0.1</f>
        <v>6.96</v>
      </c>
      <c r="CA83" s="367">
        <f>+CA84+0.1</f>
        <v>6.96</v>
      </c>
      <c r="CB83" s="367">
        <f>+CB84+0.1</f>
        <v>6.96</v>
      </c>
      <c r="CC83" s="461">
        <f t="shared" si="28"/>
        <v>6.96</v>
      </c>
      <c r="CD83" s="461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8"/>
        <v>6.96</v>
      </c>
      <c r="CI83" s="367">
        <f t="shared" ref="CI83:CL83" si="29">+CI84+0.1</f>
        <v>6.96</v>
      </c>
      <c r="CJ83" s="367">
        <f>+CJ84+0.1</f>
        <v>6.96</v>
      </c>
      <c r="CK83" s="367">
        <v>6.96</v>
      </c>
      <c r="CL83" s="758">
        <f t="shared" si="29"/>
        <v>6.96</v>
      </c>
      <c r="CM83" s="759">
        <f>+CM84+0.1</f>
        <v>6.96</v>
      </c>
      <c r="CN83" s="759">
        <f t="shared" si="28"/>
        <v>6.96</v>
      </c>
      <c r="CO83" s="759">
        <f t="shared" si="28"/>
        <v>6.96</v>
      </c>
      <c r="CP83" s="760">
        <f>+CP84+0.1</f>
        <v>6.96</v>
      </c>
      <c r="CQ83" s="382">
        <f>+CP83-CK83</f>
        <v>0</v>
      </c>
      <c r="CR83" s="527">
        <f>(+(CP83/CK83-1))*100</f>
        <v>0</v>
      </c>
      <c r="CS83" s="526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461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758">
        <v>6.86</v>
      </c>
      <c r="CM84" s="759">
        <v>6.86</v>
      </c>
      <c r="CN84" s="759">
        <v>6.86</v>
      </c>
      <c r="CO84" s="759">
        <v>6.86</v>
      </c>
      <c r="CP84" s="760">
        <v>6.86</v>
      </c>
      <c r="CQ84" s="382">
        <f>+CP84-CK84</f>
        <v>0</v>
      </c>
      <c r="CR84" s="527">
        <f>(+(CP84/CK84-1))*100</f>
        <v>0</v>
      </c>
      <c r="CS84" s="526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3">
        <v>6.9433648315922492</v>
      </c>
      <c r="BO85" s="593">
        <v>6.9396102198539342</v>
      </c>
      <c r="BP85" s="593">
        <v>6.9468283434921334</v>
      </c>
      <c r="BQ85" s="593">
        <v>6.940268427433212</v>
      </c>
      <c r="BR85" s="560">
        <v>6.936977603457299</v>
      </c>
      <c r="BS85" s="689">
        <v>6.9329105952557235</v>
      </c>
      <c r="BT85" s="560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0">
        <v>6.9310051430643824</v>
      </c>
      <c r="BZ85" s="690">
        <v>6.9450793236225152</v>
      </c>
      <c r="CA85" s="560">
        <v>6.9385845837903268</v>
      </c>
      <c r="CB85" s="560">
        <v>6.946287855738011</v>
      </c>
      <c r="CC85" s="690">
        <v>6.9494886270206653</v>
      </c>
      <c r="CD85" s="690">
        <v>6.9402513052254724</v>
      </c>
      <c r="CE85" s="560">
        <v>6.9428154037001075</v>
      </c>
      <c r="CF85" s="690">
        <v>6.9409999553644877</v>
      </c>
      <c r="CG85" s="560">
        <v>6.9428154037001075</v>
      </c>
      <c r="CH85" s="560">
        <v>6.9557134337683468</v>
      </c>
      <c r="CI85" s="560">
        <v>6.9449820919596181</v>
      </c>
      <c r="CJ85" s="560">
        <v>6.9428154037001075</v>
      </c>
      <c r="CK85" s="560">
        <v>6.9371200714133936</v>
      </c>
      <c r="CL85" s="691">
        <v>6.9428154037001075</v>
      </c>
      <c r="CM85" s="689">
        <v>6.9579799221250971</v>
      </c>
      <c r="CN85" s="689">
        <v>6.9542835055313983</v>
      </c>
      <c r="CO85" s="689">
        <v>6.9371200714133936</v>
      </c>
      <c r="CP85" s="690">
        <v>6.9455657694494857</v>
      </c>
      <c r="CQ85" s="382">
        <f>+CP85-CK85</f>
        <v>8.4456980360920753E-3</v>
      </c>
      <c r="CR85" s="527">
        <f>(+(CP85/CK85-1))*100</f>
        <v>0.1217464588928685</v>
      </c>
      <c r="CS85" s="526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0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0">
        <v>72.719876005997165</v>
      </c>
      <c r="BY86" s="560">
        <v>69.861477871946221</v>
      </c>
      <c r="BZ86" s="560">
        <v>68.730794048221696</v>
      </c>
      <c r="CA86" s="560">
        <v>67.368721068008909</v>
      </c>
      <c r="CB86" s="560">
        <v>66.734295239977158</v>
      </c>
      <c r="CC86" s="560">
        <v>68.708755127107437</v>
      </c>
      <c r="CD86" s="560">
        <v>67.478300328029576</v>
      </c>
      <c r="CE86" s="560">
        <v>67.488035200906111</v>
      </c>
      <c r="CF86" s="560">
        <v>65.367079472120679</v>
      </c>
      <c r="CG86" s="560">
        <v>64.34919211832468</v>
      </c>
      <c r="CH86" s="560">
        <v>63.466096656159124</v>
      </c>
      <c r="CI86" s="560">
        <v>63.810093857033259</v>
      </c>
      <c r="CJ86" s="560">
        <v>62.52249511034249</v>
      </c>
      <c r="CK86" s="560"/>
      <c r="CL86" s="730"/>
      <c r="CM86" s="360"/>
      <c r="CN86" s="360"/>
      <c r="CO86" s="360"/>
      <c r="CP86" s="410"/>
      <c r="CQ86" s="382"/>
      <c r="CR86" s="527"/>
      <c r="CS86" s="526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461">
        <v>2.05484</v>
      </c>
      <c r="CE87" s="367">
        <v>2.0621800000000001</v>
      </c>
      <c r="CF87" s="461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758">
        <v>2.0982799999999999</v>
      </c>
      <c r="CM87" s="759">
        <v>2.0984799999999999</v>
      </c>
      <c r="CN87" s="759">
        <v>2.0986799999999999</v>
      </c>
      <c r="CO87" s="759">
        <v>2.0988799999999999</v>
      </c>
      <c r="CP87" s="760">
        <v>2.0962800000000001</v>
      </c>
      <c r="CQ87" s="382">
        <f>+CP87-CK87</f>
        <v>-2.5999999999997137E-3</v>
      </c>
      <c r="CR87" s="527">
        <f>(+(CP87/CK87-1))*100</f>
        <v>-0.12387559079126698</v>
      </c>
      <c r="CS87" s="526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4">
        <v>1.9587699999999999</v>
      </c>
      <c r="BT88" s="614">
        <v>1.96984</v>
      </c>
      <c r="BU88" s="61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/>
      <c r="CL88" s="730"/>
      <c r="CM88" s="360"/>
      <c r="CN88" s="360"/>
      <c r="CO88" s="360"/>
      <c r="CP88" s="410"/>
      <c r="CQ88" s="382"/>
      <c r="CR88" s="527"/>
      <c r="CS88" s="526"/>
      <c r="CT88" s="293"/>
      <c r="CU88" s="299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5"/>
      <c r="CA89" s="735"/>
      <c r="CB89" s="737"/>
      <c r="CC89" s="735"/>
      <c r="CD89" s="735"/>
      <c r="CE89" s="737"/>
      <c r="CF89" s="735"/>
      <c r="CG89" s="737"/>
      <c r="CH89" s="737"/>
      <c r="CI89" s="773"/>
      <c r="CJ89" s="773"/>
      <c r="CK89" s="773"/>
      <c r="CL89" s="731"/>
      <c r="CM89" s="716"/>
      <c r="CN89" s="716"/>
      <c r="CO89" s="716"/>
      <c r="CP89" s="718"/>
      <c r="CQ89" s="624"/>
      <c r="CR89" s="532"/>
      <c r="CS89" s="526"/>
      <c r="CT89" s="293"/>
      <c r="CU89" s="299"/>
    </row>
    <row r="90" spans="1:99" ht="12.75" customHeight="1" thickBot="1" x14ac:dyDescent="0.25">
      <c r="A90" s="227"/>
      <c r="B90" s="814"/>
      <c r="C90" s="502" t="s">
        <v>198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761">
        <v>2105.7754171734696</v>
      </c>
      <c r="CM90" s="761">
        <v>2105.7754171734696</v>
      </c>
      <c r="CN90" s="761">
        <v>2105.7754171734696</v>
      </c>
      <c r="CO90" s="761">
        <v>2105.7754171734696</v>
      </c>
      <c r="CP90" s="761">
        <v>2088.8024371895044</v>
      </c>
      <c r="CQ90" s="382">
        <f>+CP90-CK90</f>
        <v>-16.97297998396516</v>
      </c>
      <c r="CR90" s="527">
        <f>(+(CP90/CK90-1))*100</f>
        <v>-0.80602042580341093</v>
      </c>
      <c r="CS90" s="526"/>
      <c r="CT90" s="293"/>
      <c r="CU90" s="299"/>
    </row>
    <row r="91" spans="1:99" x14ac:dyDescent="0.2">
      <c r="A91" s="227"/>
      <c r="B91" s="81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414"/>
      <c r="CE91" s="439"/>
      <c r="CF91" s="414"/>
      <c r="CG91" s="439"/>
      <c r="CH91" s="439"/>
      <c r="CI91" s="414"/>
      <c r="CJ91" s="772"/>
      <c r="CK91" s="772"/>
      <c r="CL91" s="732"/>
      <c r="CM91" s="411"/>
      <c r="CN91" s="411"/>
      <c r="CO91" s="411"/>
      <c r="CP91" s="414"/>
      <c r="CQ91" s="625"/>
      <c r="CR91" s="414"/>
      <c r="CS91" s="526"/>
      <c r="CT91" s="293"/>
    </row>
    <row r="92" spans="1:99" ht="12.75" customHeight="1" x14ac:dyDescent="0.2">
      <c r="A92" s="227"/>
      <c r="B92" s="81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33"/>
      <c r="CM92" s="412"/>
      <c r="CN92" s="412"/>
      <c r="CO92" s="412"/>
      <c r="CP92" s="415"/>
      <c r="CQ92" s="626"/>
      <c r="CR92" s="415"/>
      <c r="CS92" s="526"/>
      <c r="CT92" s="293"/>
    </row>
    <row r="93" spans="1:99" x14ac:dyDescent="0.2">
      <c r="A93" s="227"/>
      <c r="B93" s="81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3">
        <v>0.96727093676212128</v>
      </c>
      <c r="CA93" s="593">
        <v>0.33529006825945284</v>
      </c>
      <c r="CB93" s="593">
        <v>-0.48956753291380384</v>
      </c>
      <c r="CC93" s="593">
        <v>-0.42570068392104865</v>
      </c>
      <c r="CD93" s="593">
        <v>0.36557201447209309</v>
      </c>
      <c r="CE93" s="593">
        <v>0.34206208843934327</v>
      </c>
      <c r="CF93" s="593">
        <v>0.60619358442388638</v>
      </c>
      <c r="CG93" s="593">
        <v>0.20068945270890204</v>
      </c>
      <c r="CH93" s="593">
        <v>0.46960283778660905</v>
      </c>
      <c r="CI93" s="593">
        <v>0.33207645749759873</v>
      </c>
      <c r="CJ93" s="593">
        <v>5.3308238009264208E-2</v>
      </c>
      <c r="CK93" s="593">
        <v>0.16598570799080115</v>
      </c>
      <c r="CL93" s="733"/>
      <c r="CM93" s="412"/>
      <c r="CN93" s="412"/>
      <c r="CO93" s="412"/>
      <c r="CP93" s="415"/>
      <c r="CQ93" s="626"/>
      <c r="CR93" s="415"/>
      <c r="CS93" s="526"/>
      <c r="CT93" s="293"/>
    </row>
    <row r="94" spans="1:99" x14ac:dyDescent="0.2">
      <c r="A94" s="227"/>
      <c r="B94" s="81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3">
        <v>0.96727093676212128</v>
      </c>
      <c r="CA94" s="593">
        <v>1.3058041684056887</v>
      </c>
      <c r="CB94" s="593">
        <v>0.80984384224001005</v>
      </c>
      <c r="CC94" s="593">
        <v>0.38069564754386054</v>
      </c>
      <c r="CD94" s="593">
        <v>0.7476593787636876</v>
      </c>
      <c r="CE94" s="593">
        <v>1.0922789264884436</v>
      </c>
      <c r="CF94" s="593">
        <v>1.7050938356887091</v>
      </c>
      <c r="CG94" s="593">
        <v>1.9092052318846253</v>
      </c>
      <c r="CH94" s="593">
        <v>2.3877737516193154</v>
      </c>
      <c r="CI94" s="593">
        <v>2.7277794436043612</v>
      </c>
      <c r="CJ94" s="593">
        <v>2.7825418127717771</v>
      </c>
      <c r="CK94" s="593">
        <v>2.9531461424906702</v>
      </c>
      <c r="CL94" s="733"/>
      <c r="CM94" s="412"/>
      <c r="CN94" s="412"/>
      <c r="CO94" s="412"/>
      <c r="CP94" s="415"/>
      <c r="CQ94" s="626"/>
      <c r="CR94" s="415"/>
      <c r="CS94" s="526"/>
      <c r="CT94" s="293"/>
    </row>
    <row r="95" spans="1:99" x14ac:dyDescent="0.2">
      <c r="A95" s="227"/>
      <c r="B95" s="81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3">
        <v>5.9367302421803103</v>
      </c>
      <c r="CA95" s="593">
        <v>5.4930446244385811</v>
      </c>
      <c r="CB95" s="593">
        <v>4.7545122061634304</v>
      </c>
      <c r="CC95" s="593">
        <v>4.1408702420002053</v>
      </c>
      <c r="CD95" s="593">
        <v>4.0844195781356119</v>
      </c>
      <c r="CE95" s="593">
        <v>3.1937153177437505</v>
      </c>
      <c r="CF95" s="593">
        <v>3.0621844120571229</v>
      </c>
      <c r="CG95" s="593">
        <v>3.203045943021321</v>
      </c>
      <c r="CH95" s="593">
        <v>4.078599389741222</v>
      </c>
      <c r="CI95" s="593">
        <v>4.3230096226501979</v>
      </c>
      <c r="CJ95" s="593">
        <v>3.6431296205778008</v>
      </c>
      <c r="CK95" s="593">
        <v>2.9531461424906702</v>
      </c>
      <c r="CL95" s="733"/>
      <c r="CM95" s="412"/>
      <c r="CN95" s="412"/>
      <c r="CO95" s="412"/>
      <c r="CP95" s="415"/>
      <c r="CQ95" s="626"/>
      <c r="CR95" s="415"/>
      <c r="CS95" s="526"/>
      <c r="CT95" s="293"/>
    </row>
    <row r="96" spans="1:99" x14ac:dyDescent="0.2">
      <c r="A96" s="227"/>
      <c r="B96" s="814"/>
      <c r="C96" s="17" t="s">
        <v>3</v>
      </c>
      <c r="D96" s="710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33"/>
      <c r="CM96" s="412"/>
      <c r="CN96" s="412"/>
      <c r="CO96" s="412"/>
      <c r="CP96" s="415"/>
      <c r="CQ96" s="626"/>
      <c r="CR96" s="415"/>
      <c r="CS96" s="526"/>
      <c r="CT96" s="293"/>
    </row>
    <row r="97" spans="1:98" x14ac:dyDescent="0.2">
      <c r="A97" s="227"/>
      <c r="B97" s="81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1">
        <f>(0.581731519168357/100)*100</f>
        <v>0.58173151916835697</v>
      </c>
      <c r="BN97" s="551">
        <v>0.59607150583899571</v>
      </c>
      <c r="BO97" s="551">
        <v>0.25001684601449886</v>
      </c>
      <c r="BP97" s="551">
        <v>0.13060516683962553</v>
      </c>
      <c r="BQ97" s="551">
        <v>0.2897917932584429</v>
      </c>
      <c r="BR97" s="551">
        <v>0.27264070062379459</v>
      </c>
      <c r="BS97" s="555">
        <v>0.80366524259199901</v>
      </c>
      <c r="BT97" s="556">
        <v>0.38735143244835801</v>
      </c>
      <c r="BU97" s="557">
        <v>0.189927601363232</v>
      </c>
      <c r="BV97" s="557">
        <v>2.25941814585396E-2</v>
      </c>
      <c r="BW97" s="557">
        <v>0.15303527621576499</v>
      </c>
      <c r="BX97" s="557">
        <v>0.14402665664994599</v>
      </c>
      <c r="BY97" s="557">
        <v>0.61401865289526314</v>
      </c>
      <c r="BZ97" s="557">
        <v>0.65157370913804746</v>
      </c>
      <c r="CA97" s="557">
        <v>0.39388751132091099</v>
      </c>
      <c r="CB97" s="557">
        <v>2.5609161090466109E-2</v>
      </c>
      <c r="CC97" s="557">
        <v>-0.13241467519519665</v>
      </c>
      <c r="CD97" s="557">
        <v>-0.13897607894414926</v>
      </c>
      <c r="CE97" s="557">
        <v>0.28657632863717863</v>
      </c>
      <c r="CF97" s="557">
        <v>0.3446368607372326</v>
      </c>
      <c r="CG97" s="557">
        <v>9.106347266413993E-2</v>
      </c>
      <c r="CH97" s="557">
        <v>0.16483940859033352</v>
      </c>
      <c r="CI97" s="557">
        <v>0.17526189322079558</v>
      </c>
      <c r="CJ97" s="557">
        <v>9.0673139675531686E-2</v>
      </c>
      <c r="CK97" s="557">
        <v>0.33116917086726055</v>
      </c>
      <c r="CL97" s="733"/>
      <c r="CM97" s="412"/>
      <c r="CN97" s="412"/>
      <c r="CO97" s="412"/>
      <c r="CP97" s="415"/>
      <c r="CQ97" s="626"/>
      <c r="CR97" s="415"/>
      <c r="CS97" s="526"/>
      <c r="CT97" s="293"/>
    </row>
    <row r="98" spans="1:98" x14ac:dyDescent="0.2">
      <c r="A98" s="227"/>
      <c r="B98" s="81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1">
        <f>(4.33684902269107/100)*100</f>
        <v>4.3368490226910703</v>
      </c>
      <c r="BN98" s="551">
        <v>0.59607150583900204</v>
      </c>
      <c r="BO98" s="551">
        <v>0.84757863103237518</v>
      </c>
      <c r="BP98" s="551">
        <v>0.97929077935714481</v>
      </c>
      <c r="BQ98" s="551">
        <v>1.2719204769263026</v>
      </c>
      <c r="BR98" s="551">
        <v>1.5480289504497868</v>
      </c>
      <c r="BS98" s="555">
        <v>2.3641351636617802</v>
      </c>
      <c r="BT98" s="556">
        <v>2.7606441075316099</v>
      </c>
      <c r="BU98" s="557">
        <v>2.9558149340304301</v>
      </c>
      <c r="BV98" s="557">
        <v>2.9790769576787399</v>
      </c>
      <c r="BW98" s="557">
        <v>3.1366712725453798</v>
      </c>
      <c r="BX98" s="557">
        <v>3.2852155719592697</v>
      </c>
      <c r="BY98" s="557">
        <v>3.9194060612541604</v>
      </c>
      <c r="BZ98" s="557">
        <v>0.65157370913804247</v>
      </c>
      <c r="CA98" s="557">
        <v>1.0480276879262895</v>
      </c>
      <c r="CB98" s="557">
        <v>1.0739052401156135</v>
      </c>
      <c r="CC98" s="557">
        <v>0.94006855678483436</v>
      </c>
      <c r="CD98" s="557">
        <v>0.79978600742105499</v>
      </c>
      <c r="CE98" s="557">
        <v>1.0886543334352572</v>
      </c>
      <c r="CF98" s="557">
        <v>1.4370430982915128</v>
      </c>
      <c r="CG98" s="557">
        <v>1.5294151923046284</v>
      </c>
      <c r="CH98" s="557">
        <v>1.6967756798528688</v>
      </c>
      <c r="CI98" s="557">
        <v>1.8750113742538765</v>
      </c>
      <c r="CJ98" s="557">
        <v>1.9673846456117028</v>
      </c>
      <c r="CK98" s="557">
        <v>2.3050691878976126</v>
      </c>
      <c r="CL98" s="733"/>
      <c r="CM98" s="412"/>
      <c r="CN98" s="412"/>
      <c r="CO98" s="412"/>
      <c r="CP98" s="415"/>
      <c r="CQ98" s="626"/>
      <c r="CR98" s="415"/>
      <c r="CS98" s="526"/>
      <c r="CT98" s="293"/>
    </row>
    <row r="99" spans="1:98" x14ac:dyDescent="0.2">
      <c r="A99" s="227"/>
      <c r="B99" s="81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1">
        <f>(4.33684902269107/100)*100</f>
        <v>4.3368490226910703</v>
      </c>
      <c r="BN99" s="551">
        <v>4.5551492370064395</v>
      </c>
      <c r="BO99" s="551">
        <v>4.4637793013951876</v>
      </c>
      <c r="BP99" s="551">
        <v>4.4312884646409145</v>
      </c>
      <c r="BQ99" s="551">
        <v>4.5358386881340085</v>
      </c>
      <c r="BR99" s="551">
        <v>4.4848627280019926</v>
      </c>
      <c r="BS99" s="555">
        <v>4.9386025177827504</v>
      </c>
      <c r="BT99" s="556">
        <v>4.8961883973974096</v>
      </c>
      <c r="BU99" s="557">
        <v>4.4543902974059302</v>
      </c>
      <c r="BV99" s="557">
        <v>4.0750267295136107</v>
      </c>
      <c r="BW99" s="557">
        <v>3.8633727989355404</v>
      </c>
      <c r="BX99" s="557">
        <v>3.8860582255823202</v>
      </c>
      <c r="BY99" s="557">
        <v>3.9194060612541604</v>
      </c>
      <c r="BZ99" s="557">
        <v>3.976741858920918</v>
      </c>
      <c r="CA99" s="557">
        <v>4.1259608166654527</v>
      </c>
      <c r="CB99" s="557">
        <v>4.016775318761745</v>
      </c>
      <c r="CC99" s="557">
        <v>3.5788787533984179</v>
      </c>
      <c r="CD99" s="557">
        <v>3.1536899461042545</v>
      </c>
      <c r="CE99" s="557">
        <v>2.6245461954648608</v>
      </c>
      <c r="CF99" s="557">
        <v>2.5808797028715302</v>
      </c>
      <c r="CG99" s="557">
        <v>2.4796562611962392</v>
      </c>
      <c r="CH99" s="557">
        <v>2.6253957523637794</v>
      </c>
      <c r="CI99" s="557">
        <v>2.6481710517851864</v>
      </c>
      <c r="CJ99" s="557">
        <v>2.5934834072052215</v>
      </c>
      <c r="CK99" s="557">
        <v>2.3050691878976126</v>
      </c>
      <c r="CL99" s="733"/>
      <c r="CM99" s="412"/>
      <c r="CN99" s="412"/>
      <c r="CO99" s="412"/>
      <c r="CP99" s="415"/>
      <c r="CQ99" s="626"/>
      <c r="CR99" s="415"/>
      <c r="CS99" s="526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5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9">
        <v>0.39800993783385402</v>
      </c>
      <c r="BU100" s="560">
        <v>3.5916827347163102E-2</v>
      </c>
      <c r="BV100" s="560">
        <v>6.6255217600299093E-2</v>
      </c>
      <c r="BW100" s="560">
        <v>9.1717813266628409E-2</v>
      </c>
      <c r="BX100" s="560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4">
        <v>4.0000000000000003E-5</v>
      </c>
      <c r="CL100" s="733"/>
      <c r="CM100" s="412"/>
      <c r="CN100" s="412"/>
      <c r="CO100" s="412"/>
      <c r="CP100" s="415"/>
      <c r="CQ100" s="626"/>
      <c r="CR100" s="415"/>
      <c r="CS100" s="526"/>
      <c r="CT100" s="293"/>
    </row>
    <row r="101" spans="1:98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9">
        <v>-0.35839710496980981</v>
      </c>
      <c r="BU101" s="560">
        <v>0.93882721718236972</v>
      </c>
      <c r="BV101" s="560">
        <v>-1.1415261806729582</v>
      </c>
      <c r="BW101" s="560">
        <v>-1.0492597571019502</v>
      </c>
      <c r="BX101" s="560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4">
        <v>-1.4328390804597579E-2</v>
      </c>
      <c r="CL101" s="733"/>
      <c r="CM101" s="412"/>
      <c r="CN101" s="412"/>
      <c r="CO101" s="412"/>
      <c r="CP101" s="415"/>
      <c r="CQ101" s="626"/>
      <c r="CR101" s="415"/>
      <c r="CS101" s="526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5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9">
        <v>1.09410439495775</v>
      </c>
      <c r="BU102" s="560">
        <v>2.4102386926514798</v>
      </c>
      <c r="BV102" s="560">
        <v>0.29955944351547803</v>
      </c>
      <c r="BW102" s="560">
        <v>0.39317085868373997</v>
      </c>
      <c r="BX102" s="560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4">
        <v>4.0000000000000003E-5</v>
      </c>
      <c r="CL102" s="733"/>
      <c r="CM102" s="412"/>
      <c r="CN102" s="412"/>
      <c r="CO102" s="412"/>
      <c r="CP102" s="415"/>
      <c r="CQ102" s="626"/>
      <c r="CR102" s="415"/>
      <c r="CS102" s="526"/>
      <c r="CT102" s="293"/>
    </row>
    <row r="103" spans="1:98" ht="13.5" customHeight="1" thickBot="1" x14ac:dyDescent="0.25">
      <c r="A103" s="227"/>
      <c r="B103" s="44"/>
      <c r="C103" s="17"/>
      <c r="D103" s="103" t="s">
        <v>201</v>
      </c>
      <c r="E103" s="561">
        <v>1.7994625176803281</v>
      </c>
      <c r="F103" s="562">
        <v>1.6285151343705673</v>
      </c>
      <c r="G103" s="561">
        <v>1.5135643564356371</v>
      </c>
      <c r="H103" s="561">
        <v>1.2671004243281159</v>
      </c>
      <c r="I103" s="561">
        <v>0.58685997171146198</v>
      </c>
      <c r="J103" s="561">
        <v>0.24171046676095001</v>
      </c>
      <c r="K103" s="561">
        <v>5.2050919377544247E-3</v>
      </c>
      <c r="L103" s="561">
        <v>-0.37927864214993834</v>
      </c>
      <c r="M103" s="563">
        <v>-0.63560113154172981</v>
      </c>
      <c r="N103" s="563">
        <v>-0.92149929278643183</v>
      </c>
      <c r="O103" s="561">
        <v>-0.93135785007074645</v>
      </c>
      <c r="P103" s="564">
        <v>-0.84263083451202592</v>
      </c>
      <c r="Q103" s="564">
        <v>-0.95107496463933128</v>
      </c>
      <c r="R103" s="561">
        <v>-0.9017821782178137</v>
      </c>
      <c r="S103" s="565">
        <v>-0.84263083451202592</v>
      </c>
      <c r="T103" s="565">
        <v>-1.1383875530410315</v>
      </c>
      <c r="U103" s="565">
        <v>-1.0693776520509291</v>
      </c>
      <c r="V103" s="565">
        <v>-1.10881178117812</v>
      </c>
      <c r="W103" s="565">
        <v>-1.1778217821782344</v>
      </c>
      <c r="X103" s="565">
        <v>-1.247480587951566</v>
      </c>
      <c r="Y103" s="565">
        <v>-1.1975388967468192</v>
      </c>
      <c r="Z103" s="565">
        <v>-1.1776803394625299</v>
      </c>
      <c r="AA103" s="565">
        <v>-1.2369731258840222</v>
      </c>
      <c r="AB103" s="565">
        <v>-1.2784135977336963</v>
      </c>
      <c r="AC103" s="565">
        <v>-1.1738636363636401</v>
      </c>
      <c r="AD103" s="565">
        <v>-1.3317329545454615</v>
      </c>
      <c r="AE103" s="565">
        <v>-1.3062108262108074</v>
      </c>
      <c r="AF103" s="565">
        <v>-1.2708571428571291</v>
      </c>
      <c r="AG103" s="565">
        <v>-1.34190271716882</v>
      </c>
      <c r="AH103" s="565">
        <v>-1.3320457796852647</v>
      </c>
      <c r="AI103" s="565">
        <v>-1.3045272206303582</v>
      </c>
      <c r="AJ103" s="565">
        <v>-1.2671592539454712</v>
      </c>
      <c r="AK103" s="565">
        <v>-1.31644179383069</v>
      </c>
      <c r="AL103" s="565">
        <v>-1.2474461979913865</v>
      </c>
      <c r="AM103" s="565">
        <v>-1.3022369878071038</v>
      </c>
      <c r="AN103" s="565">
        <v>-1.3342832101242541</v>
      </c>
      <c r="AO103" s="565">
        <v>-1.2875357045267322</v>
      </c>
      <c r="AP103" s="565">
        <v>-1.2724437581754233</v>
      </c>
      <c r="AQ103" s="565">
        <v>-1.237756186451644</v>
      </c>
      <c r="AR103" s="565">
        <v>-1.3086494252873448</v>
      </c>
      <c r="AS103" s="565">
        <v>-0.71578670266385647</v>
      </c>
      <c r="AT103" s="565">
        <v>-1.3677873563218368</v>
      </c>
      <c r="AU103" s="565">
        <v>-1.3540910413881169</v>
      </c>
      <c r="AV103" s="566">
        <v>-1.3480747126436765</v>
      </c>
      <c r="AW103" s="565">
        <v>-1.359082324671701</v>
      </c>
      <c r="AX103" s="565">
        <v>-1.3616147937453027</v>
      </c>
      <c r="AY103" s="565">
        <v>-1.2987844545410909</v>
      </c>
      <c r="AZ103" s="565">
        <v>-1.3673406246508923</v>
      </c>
      <c r="BA103" s="565">
        <v>-1.3684474876808239</v>
      </c>
      <c r="BB103" s="565">
        <v>-1.3762945695622197</v>
      </c>
      <c r="BC103" s="565">
        <v>-1.3778987517756858</v>
      </c>
      <c r="BD103" s="565">
        <v>-1.3512850693900402</v>
      </c>
      <c r="BE103" s="565">
        <v>-1.3865314187484157</v>
      </c>
      <c r="BF103" s="565">
        <v>-1.3802838286914865</v>
      </c>
      <c r="BG103" s="565">
        <v>-1.411246784686071</v>
      </c>
      <c r="BH103" s="565">
        <v>-1.3692289235710753</v>
      </c>
      <c r="BI103" s="565">
        <v>-1.1683239058127293</v>
      </c>
      <c r="BJ103" s="566">
        <v>-1.3800126935031298</v>
      </c>
      <c r="BK103" s="565">
        <v>-1.3756359348725988</v>
      </c>
      <c r="BL103" s="567">
        <v>-1.2187540326007995</v>
      </c>
      <c r="BM103" s="565">
        <v>-1.3677873563218368</v>
      </c>
      <c r="BN103" s="565">
        <v>-1.3780027517364513</v>
      </c>
      <c r="BO103" s="565">
        <v>-1.2711236097675882</v>
      </c>
      <c r="BP103" s="565">
        <v>-1.339334159042338</v>
      </c>
      <c r="BQ103" s="565">
        <v>-1.394285102908599</v>
      </c>
      <c r="BR103" s="565">
        <v>-1.3914276225014288</v>
      </c>
      <c r="BS103" s="566">
        <v>-1.3923528699683607</v>
      </c>
      <c r="BT103" s="568">
        <v>-1.0444902049511096</v>
      </c>
      <c r="BU103" s="569">
        <v>-1.4013808282181572</v>
      </c>
      <c r="BV103" s="569">
        <v>-1.3714783343767079</v>
      </c>
      <c r="BW103" s="569">
        <v>-1.3463815806021517</v>
      </c>
      <c r="BX103" s="569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5">
        <v>-1.4328390804597579E-2</v>
      </c>
      <c r="CL103" s="734"/>
      <c r="CM103" s="413"/>
      <c r="CN103" s="413"/>
      <c r="CO103" s="413"/>
      <c r="CP103" s="416"/>
      <c r="CQ103" s="626"/>
      <c r="CR103" s="415"/>
      <c r="CS103" s="526"/>
      <c r="CT103" s="293"/>
    </row>
    <row r="104" spans="1:98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39"/>
      <c r="CD104" s="414"/>
      <c r="CE104" s="439"/>
      <c r="CF104" s="414"/>
      <c r="CG104" s="439"/>
      <c r="CH104" s="439"/>
      <c r="CI104" s="414"/>
      <c r="CJ104" s="439"/>
      <c r="CK104" s="439"/>
      <c r="CL104" s="732"/>
      <c r="CM104" s="411"/>
      <c r="CN104" s="411"/>
      <c r="CO104" s="411"/>
      <c r="CP104" s="414"/>
      <c r="CQ104" s="627"/>
      <c r="CR104" s="534"/>
      <c r="CS104" s="526"/>
      <c r="CT104" s="293"/>
    </row>
    <row r="105" spans="1:98" ht="12.75" customHeight="1" x14ac:dyDescent="0.2">
      <c r="A105" s="227"/>
      <c r="B105" s="44"/>
      <c r="C105" s="17"/>
      <c r="D105" s="712" t="s">
        <v>119</v>
      </c>
      <c r="E105" s="570">
        <v>13</v>
      </c>
      <c r="F105" s="570">
        <v>12</v>
      </c>
      <c r="G105" s="570">
        <v>12</v>
      </c>
      <c r="H105" s="570">
        <v>12</v>
      </c>
      <c r="I105" s="570">
        <v>12</v>
      </c>
      <c r="J105" s="570">
        <v>10</v>
      </c>
      <c r="K105" s="570">
        <v>8</v>
      </c>
      <c r="L105" s="570">
        <v>3</v>
      </c>
      <c r="M105" s="571">
        <v>3</v>
      </c>
      <c r="N105" s="570">
        <v>3</v>
      </c>
      <c r="O105" s="570">
        <v>3</v>
      </c>
      <c r="P105" s="572">
        <v>3</v>
      </c>
      <c r="Q105" s="570">
        <v>3</v>
      </c>
      <c r="R105" s="570">
        <v>3</v>
      </c>
      <c r="S105" s="573">
        <v>3</v>
      </c>
      <c r="T105" s="573">
        <v>3</v>
      </c>
      <c r="U105" s="573">
        <v>3</v>
      </c>
      <c r="V105" s="573">
        <v>3</v>
      </c>
      <c r="W105" s="573">
        <v>3</v>
      </c>
      <c r="X105" s="573">
        <v>3</v>
      </c>
      <c r="Y105" s="573">
        <v>3</v>
      </c>
      <c r="Z105" s="573">
        <v>3</v>
      </c>
      <c r="AA105" s="573">
        <v>3</v>
      </c>
      <c r="AB105" s="573">
        <v>3</v>
      </c>
      <c r="AC105" s="573">
        <v>3</v>
      </c>
      <c r="AD105" s="573">
        <v>3</v>
      </c>
      <c r="AE105" s="573">
        <v>3</v>
      </c>
      <c r="AF105" s="573">
        <v>3</v>
      </c>
      <c r="AG105" s="573">
        <v>3</v>
      </c>
      <c r="AH105" s="573">
        <v>4.5</v>
      </c>
      <c r="AI105" s="573">
        <v>4.5</v>
      </c>
      <c r="AJ105" s="573">
        <v>4.5</v>
      </c>
      <c r="AK105" s="573">
        <v>5</v>
      </c>
      <c r="AL105" s="573">
        <v>5</v>
      </c>
      <c r="AM105" s="573">
        <v>5</v>
      </c>
      <c r="AN105" s="573">
        <v>4</v>
      </c>
      <c r="AO105" s="573">
        <v>4</v>
      </c>
      <c r="AP105" s="573">
        <v>4</v>
      </c>
      <c r="AQ105" s="573">
        <v>4</v>
      </c>
      <c r="AR105" s="573">
        <v>4</v>
      </c>
      <c r="AS105" s="573">
        <v>4</v>
      </c>
      <c r="AT105" s="573">
        <v>4</v>
      </c>
      <c r="AU105" s="573">
        <v>4</v>
      </c>
      <c r="AV105" s="574">
        <v>4</v>
      </c>
      <c r="AW105" s="573">
        <v>4</v>
      </c>
      <c r="AX105" s="573">
        <v>4</v>
      </c>
      <c r="AY105" s="573">
        <v>4</v>
      </c>
      <c r="AZ105" s="573">
        <v>4</v>
      </c>
      <c r="BA105" s="573">
        <v>4</v>
      </c>
      <c r="BB105" s="573">
        <v>4</v>
      </c>
      <c r="BC105" s="573">
        <v>4</v>
      </c>
      <c r="BD105" s="573">
        <v>4</v>
      </c>
      <c r="BE105" s="573">
        <v>4</v>
      </c>
      <c r="BF105" s="573">
        <v>4</v>
      </c>
      <c r="BG105" s="573">
        <v>4</v>
      </c>
      <c r="BH105" s="573">
        <v>4</v>
      </c>
      <c r="BI105" s="573">
        <v>4</v>
      </c>
      <c r="BJ105" s="575">
        <v>4</v>
      </c>
      <c r="BK105" s="573">
        <v>4</v>
      </c>
      <c r="BL105" s="574">
        <v>4.5</v>
      </c>
      <c r="BM105" s="573">
        <v>4.5</v>
      </c>
      <c r="BN105" s="576">
        <v>4.5</v>
      </c>
      <c r="BO105" s="576">
        <v>4.5</v>
      </c>
      <c r="BP105" s="576">
        <v>5</v>
      </c>
      <c r="BQ105" s="576">
        <v>5.5</v>
      </c>
      <c r="BR105" s="576">
        <v>5.5</v>
      </c>
      <c r="BS105" s="577">
        <v>6</v>
      </c>
      <c r="BT105" s="576">
        <v>6</v>
      </c>
      <c r="BU105" s="578">
        <v>6</v>
      </c>
      <c r="BV105" s="578">
        <v>6</v>
      </c>
      <c r="BW105" s="578">
        <v>3.3000000000000003</v>
      </c>
      <c r="BX105" s="578">
        <v>3.3000000000000003</v>
      </c>
      <c r="BY105" s="576">
        <v>3.3000000000000003</v>
      </c>
      <c r="BZ105" s="578">
        <v>3.3000000000000003</v>
      </c>
      <c r="CA105" s="578">
        <v>3.3000000000000003</v>
      </c>
      <c r="CB105" s="576">
        <v>3.3000000000000003</v>
      </c>
      <c r="CC105" s="576">
        <v>2.5</v>
      </c>
      <c r="CD105" s="578">
        <v>2.5</v>
      </c>
      <c r="CE105" s="576">
        <v>2.5</v>
      </c>
      <c r="CF105" s="578">
        <v>2.5</v>
      </c>
      <c r="CG105" s="576">
        <v>2.5</v>
      </c>
      <c r="CH105" s="576">
        <v>2.5</v>
      </c>
      <c r="CI105" s="578">
        <v>2.5</v>
      </c>
      <c r="CJ105" s="576">
        <v>2.5</v>
      </c>
      <c r="CK105" s="576">
        <v>2.5</v>
      </c>
      <c r="CL105" s="769">
        <v>2.5</v>
      </c>
      <c r="CM105" s="762">
        <v>2.5</v>
      </c>
      <c r="CN105" s="762">
        <v>2.5</v>
      </c>
      <c r="CO105" s="762">
        <v>2.5</v>
      </c>
      <c r="CP105" s="763">
        <v>2.5</v>
      </c>
      <c r="CQ105" s="382" t="s">
        <v>3</v>
      </c>
      <c r="CR105" s="527"/>
      <c r="CS105" s="526"/>
      <c r="CT105" s="293"/>
    </row>
    <row r="106" spans="1:98" ht="12.75" customHeight="1" thickBot="1" x14ac:dyDescent="0.25">
      <c r="A106" s="227"/>
      <c r="B106" s="44"/>
      <c r="C106" s="27"/>
      <c r="D106" s="713" t="s">
        <v>30</v>
      </c>
      <c r="E106" s="579">
        <v>8.75</v>
      </c>
      <c r="F106" s="579">
        <v>8.75</v>
      </c>
      <c r="G106" s="579">
        <v>8.75</v>
      </c>
      <c r="H106" s="579">
        <v>8.75</v>
      </c>
      <c r="I106" s="579">
        <v>8.75</v>
      </c>
      <c r="J106" s="579">
        <v>8.75</v>
      </c>
      <c r="K106" s="579">
        <v>8.75</v>
      </c>
      <c r="L106" s="579">
        <v>8.75</v>
      </c>
      <c r="M106" s="580">
        <v>8.75</v>
      </c>
      <c r="N106" s="579">
        <v>8.75</v>
      </c>
      <c r="O106" s="579">
        <v>8.75</v>
      </c>
      <c r="P106" s="581">
        <v>8.75</v>
      </c>
      <c r="Q106" s="579">
        <v>8.75</v>
      </c>
      <c r="R106" s="579">
        <v>8.75</v>
      </c>
      <c r="S106" s="582">
        <v>8.75</v>
      </c>
      <c r="T106" s="582">
        <v>8.75</v>
      </c>
      <c r="U106" s="582">
        <v>8.75</v>
      </c>
      <c r="V106" s="582">
        <v>8.75</v>
      </c>
      <c r="W106" s="582">
        <v>8.75</v>
      </c>
      <c r="X106" s="582">
        <v>8.75</v>
      </c>
      <c r="Y106" s="582">
        <v>8.75</v>
      </c>
      <c r="Z106" s="582">
        <v>8.75</v>
      </c>
      <c r="AA106" s="582">
        <v>8.75</v>
      </c>
      <c r="AB106" s="582">
        <v>8.75</v>
      </c>
      <c r="AC106" s="582">
        <v>8.75</v>
      </c>
      <c r="AD106" s="582">
        <v>8.75</v>
      </c>
      <c r="AE106" s="582">
        <v>8.75</v>
      </c>
      <c r="AF106" s="582">
        <v>8.75</v>
      </c>
      <c r="AG106" s="582">
        <v>8.75</v>
      </c>
      <c r="AH106" s="582">
        <v>8.75</v>
      </c>
      <c r="AI106" s="582">
        <v>8.75</v>
      </c>
      <c r="AJ106" s="582">
        <v>8.75</v>
      </c>
      <c r="AK106" s="582">
        <v>8.75</v>
      </c>
      <c r="AL106" s="582">
        <v>8.75</v>
      </c>
      <c r="AM106" s="582">
        <v>8.75</v>
      </c>
      <c r="AN106" s="582">
        <v>8.75</v>
      </c>
      <c r="AO106" s="582">
        <v>8.75</v>
      </c>
      <c r="AP106" s="582">
        <v>8.75</v>
      </c>
      <c r="AQ106" s="582">
        <v>8.75</v>
      </c>
      <c r="AR106" s="582">
        <v>8.75</v>
      </c>
      <c r="AS106" s="582">
        <v>8.75</v>
      </c>
      <c r="AT106" s="582">
        <v>4</v>
      </c>
      <c r="AU106" s="582">
        <v>4</v>
      </c>
      <c r="AV106" s="583">
        <v>4</v>
      </c>
      <c r="AW106" s="582">
        <v>4</v>
      </c>
      <c r="AX106" s="582">
        <v>4</v>
      </c>
      <c r="AY106" s="582">
        <v>4</v>
      </c>
      <c r="AZ106" s="582">
        <v>4</v>
      </c>
      <c r="BA106" s="582">
        <v>4</v>
      </c>
      <c r="BB106" s="582">
        <v>4</v>
      </c>
      <c r="BC106" s="582">
        <v>4</v>
      </c>
      <c r="BD106" s="582">
        <v>4</v>
      </c>
      <c r="BE106" s="582">
        <v>4</v>
      </c>
      <c r="BF106" s="582">
        <v>4</v>
      </c>
      <c r="BG106" s="582">
        <v>4</v>
      </c>
      <c r="BH106" s="582">
        <v>4</v>
      </c>
      <c r="BI106" s="582">
        <v>4</v>
      </c>
      <c r="BJ106" s="584">
        <v>4</v>
      </c>
      <c r="BK106" s="582">
        <v>4</v>
      </c>
      <c r="BL106" s="583">
        <v>4</v>
      </c>
      <c r="BM106" s="582">
        <v>4</v>
      </c>
      <c r="BN106" s="585">
        <v>4</v>
      </c>
      <c r="BO106" s="585">
        <v>4</v>
      </c>
      <c r="BP106" s="585">
        <v>4</v>
      </c>
      <c r="BQ106" s="585">
        <v>4</v>
      </c>
      <c r="BR106" s="586">
        <v>4</v>
      </c>
      <c r="BS106" s="587">
        <v>4</v>
      </c>
      <c r="BT106" s="585">
        <v>4</v>
      </c>
      <c r="BU106" s="586">
        <v>4</v>
      </c>
      <c r="BV106" s="586">
        <v>4</v>
      </c>
      <c r="BW106" s="586">
        <v>4</v>
      </c>
      <c r="BX106" s="586">
        <v>4</v>
      </c>
      <c r="BY106" s="585">
        <v>4</v>
      </c>
      <c r="BZ106" s="586">
        <v>4</v>
      </c>
      <c r="CA106" s="586">
        <v>4</v>
      </c>
      <c r="CB106" s="585">
        <v>4</v>
      </c>
      <c r="CC106" s="585">
        <v>4</v>
      </c>
      <c r="CD106" s="586">
        <v>4</v>
      </c>
      <c r="CE106" s="585">
        <v>4</v>
      </c>
      <c r="CF106" s="586">
        <v>4</v>
      </c>
      <c r="CG106" s="585">
        <v>4</v>
      </c>
      <c r="CH106" s="585">
        <v>4</v>
      </c>
      <c r="CI106" s="586">
        <v>4</v>
      </c>
      <c r="CJ106" s="585">
        <v>4</v>
      </c>
      <c r="CK106" s="585">
        <v>4</v>
      </c>
      <c r="CL106" s="770">
        <v>4</v>
      </c>
      <c r="CM106" s="764">
        <v>4</v>
      </c>
      <c r="CN106" s="764">
        <v>4</v>
      </c>
      <c r="CO106" s="764">
        <v>4</v>
      </c>
      <c r="CP106" s="765">
        <v>4</v>
      </c>
      <c r="CQ106" s="628" t="s">
        <v>3</v>
      </c>
      <c r="CR106" s="535"/>
      <c r="CS106" s="526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7"/>
      <c r="CT107" s="293"/>
    </row>
    <row r="108" spans="1:98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241"/>
      <c r="CP108" s="320"/>
      <c r="CQ108" s="810"/>
      <c r="CR108" s="810"/>
      <c r="CS108" s="397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241"/>
      <c r="CP109" s="320"/>
      <c r="CQ109" s="312"/>
      <c r="CR109" s="313"/>
      <c r="CS109" s="397"/>
      <c r="CT109" s="293"/>
    </row>
    <row r="110" spans="1:98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241"/>
      <c r="CP110" s="320"/>
      <c r="CQ110" s="312"/>
      <c r="CR110" s="313"/>
      <c r="CS110" s="397"/>
      <c r="CT110" s="293"/>
    </row>
    <row r="111" spans="1:98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241"/>
      <c r="CP111" s="320"/>
      <c r="CQ111" s="312"/>
      <c r="CR111" s="313"/>
      <c r="CS111" s="397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242"/>
      <c r="CP112" s="321"/>
      <c r="CQ112" s="312"/>
      <c r="CR112" s="311"/>
      <c r="CS112" s="397"/>
      <c r="CT112" s="293"/>
    </row>
    <row r="113" spans="3:98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Q113" s="311"/>
      <c r="CR113" s="311"/>
      <c r="CS113" s="397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7"/>
      <c r="CT114" s="293"/>
    </row>
    <row r="115" spans="3:98" ht="14.25" x14ac:dyDescent="0.25">
      <c r="C115" s="6">
        <v>3</v>
      </c>
      <c r="D115" s="419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244"/>
      <c r="CP115" s="311"/>
      <c r="CQ115" s="311"/>
      <c r="CR115" s="311"/>
      <c r="CS115" s="397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244"/>
      <c r="CP116" s="311"/>
      <c r="CQ116" s="311"/>
      <c r="CR116" s="311"/>
      <c r="CS116" s="397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244"/>
      <c r="CP117" s="311"/>
      <c r="CQ117" s="311"/>
      <c r="CR117" s="311"/>
      <c r="CS117" s="397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4"/>
      <c r="CM118" s="314"/>
      <c r="CN118" s="314"/>
      <c r="CO118" s="245"/>
      <c r="CP118" s="314"/>
      <c r="CQ118" s="314"/>
      <c r="CR118" s="314"/>
      <c r="CS118" s="397"/>
      <c r="CT118" s="293"/>
    </row>
    <row r="119" spans="3:98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245"/>
      <c r="CP119" s="314"/>
      <c r="CQ119" s="314"/>
      <c r="CR119" s="314"/>
      <c r="CS119" s="397"/>
      <c r="CT119" s="293"/>
    </row>
    <row r="120" spans="3:98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245"/>
      <c r="CP120" s="314"/>
      <c r="CQ120" s="314"/>
      <c r="CR120" s="314"/>
      <c r="CS120" s="397"/>
      <c r="CT120" s="293"/>
    </row>
    <row r="121" spans="3:98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245"/>
      <c r="CP121" s="314"/>
      <c r="CQ121" s="314"/>
      <c r="CR121" s="314"/>
      <c r="CS121" s="397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245"/>
      <c r="CP122" s="314"/>
      <c r="CQ122" s="314"/>
      <c r="CR122" s="314"/>
      <c r="CS122" s="397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245"/>
      <c r="CP123" s="314"/>
      <c r="CQ123" s="314"/>
      <c r="CR123" s="314"/>
      <c r="CS123" s="397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245"/>
      <c r="CP124" s="314"/>
      <c r="CQ124" s="314"/>
      <c r="CR124" s="314"/>
      <c r="CS124" s="397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245"/>
      <c r="CP125" s="314"/>
      <c r="CQ125" s="314"/>
      <c r="CR125" s="314"/>
      <c r="CS125" s="397"/>
      <c r="CT125" s="293"/>
    </row>
    <row r="126" spans="3:98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245"/>
      <c r="CP126" s="314"/>
      <c r="CQ126" s="314"/>
      <c r="CR126" s="314"/>
      <c r="CS126" s="397"/>
      <c r="CT126" s="293"/>
    </row>
    <row r="127" spans="3:98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AH3:AH4"/>
    <mergeCell ref="AI3:AI4"/>
    <mergeCell ref="AJ3:AJ4"/>
    <mergeCell ref="AK3:AK4"/>
    <mergeCell ref="AL3:AL4"/>
    <mergeCell ref="AF3:AF4"/>
    <mergeCell ref="BA3:BA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K3:CK4"/>
    <mergeCell ref="CI3:CI4"/>
    <mergeCell ref="CG3:CG4"/>
    <mergeCell ref="CD3:CD4"/>
    <mergeCell ref="CC3:CC4"/>
    <mergeCell ref="CJ3:CJ4"/>
    <mergeCell ref="BV3:BV4"/>
    <mergeCell ref="BZ3:B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6" orientation="landscape" r:id="rId1"/>
  <headerFooter alignWithMargins="0"/>
  <ignoredErrors>
    <ignoredError sqref="E45:G49 CN84 AC85:AN85 AC90:AM90 CN88 CN83 AT45:AV46 CQ107:CR115 CQ91:CQ106 CQ44 AV17 AP83:AV83 AC83:AO84 AF45:AS49 AC87:AN88 CN45 BP50:BQ50 CQ88 CQ82 CQ52 CQ69 CQ78 CQ36 CQ40 CQ28 CQ22 CQ32 Q15:BV16 BA45:BV49 CP83 C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7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2"/>
      <c r="BV5" s="499"/>
      <c r="BW5" s="519"/>
      <c r="BX5" s="523"/>
      <c r="BY5" s="715"/>
      <c r="BZ5" s="721"/>
      <c r="CA5" s="725"/>
      <c r="CB5" s="736"/>
      <c r="CC5" s="739"/>
      <c r="CD5" s="743"/>
      <c r="CE5" s="744"/>
      <c r="CF5" s="745"/>
      <c r="CG5" s="750"/>
      <c r="CH5" s="751"/>
      <c r="CI5" s="753"/>
      <c r="CJ5" s="754"/>
      <c r="CK5" s="777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13038.34292424</v>
      </c>
      <c r="CM6" s="619">
        <f>+entero!CM7</f>
        <v>13052.041895400002</v>
      </c>
      <c r="CN6" s="619">
        <f>+entero!CN7</f>
        <v>13027.305904460001</v>
      </c>
      <c r="CO6" s="619">
        <f>+entero!CO7</f>
        <v>13024.774623380001</v>
      </c>
      <c r="CP6" s="619">
        <f>+entero!CP7</f>
        <v>13050.381805190003</v>
      </c>
      <c r="CQ6" s="621">
        <f>+entero!CQ7</f>
        <v>-5.7606215099986002</v>
      </c>
      <c r="CR6" s="536">
        <f>+entero!CR7</f>
        <v>-4.4121926076867712E-2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11338.622247589999</v>
      </c>
      <c r="CM7" s="619">
        <f>+entero!CM8</f>
        <v>11333.50702239</v>
      </c>
      <c r="CN7" s="619">
        <f>+entero!CN8</f>
        <v>11305.9493917</v>
      </c>
      <c r="CO7" s="619">
        <f>+entero!CO8</f>
        <v>11282.00688916</v>
      </c>
      <c r="CP7" s="619">
        <f>+entero!CP8</f>
        <v>11285.428748100001</v>
      </c>
      <c r="CQ7" s="621">
        <f>+entero!CQ8</f>
        <v>-72.057331300000442</v>
      </c>
      <c r="CR7" s="536">
        <f>+entero!CR8</f>
        <v>-0.63444789450982642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231.02317561000001</v>
      </c>
      <c r="CM8" s="619">
        <f>+entero!CM9</f>
        <v>231.33326710999998</v>
      </c>
      <c r="CN8" s="619">
        <f>+entero!CN9</f>
        <v>229.99453872000001</v>
      </c>
      <c r="CO8" s="619">
        <f>+entero!CO9</f>
        <v>230.00620882999999</v>
      </c>
      <c r="CP8" s="619">
        <f>+entero!CP9</f>
        <v>230.7897734</v>
      </c>
      <c r="CQ8" s="621">
        <f>+entero!CQ9</f>
        <v>-0.42179113000000257</v>
      </c>
      <c r="CR8" s="536">
        <f>+entero!CR9</f>
        <v>-0.18242648496298308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1456.39914729</v>
      </c>
      <c r="CM9" s="619">
        <f>+entero!CM10</f>
        <v>1474.8867446500001</v>
      </c>
      <c r="CN9" s="619">
        <f>+entero!CN10</f>
        <v>1479.11837904</v>
      </c>
      <c r="CO9" s="619">
        <f>+entero!CO10</f>
        <v>1500.51730914</v>
      </c>
      <c r="CP9" s="619">
        <f>+entero!CP10</f>
        <v>1521.87735494</v>
      </c>
      <c r="CQ9" s="621">
        <f>+entero!CQ10</f>
        <v>66.740954669999837</v>
      </c>
      <c r="CR9" s="536">
        <f>+entero!CR10</f>
        <v>4.586577221050625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12.29835375</v>
      </c>
      <c r="CM10" s="619">
        <f>+entero!CM11</f>
        <v>12.31486125</v>
      </c>
      <c r="CN10" s="619">
        <f>+entero!CN11</f>
        <v>12.243594999999999</v>
      </c>
      <c r="CO10" s="619">
        <f>+entero!CO11</f>
        <v>12.244216249999999</v>
      </c>
      <c r="CP10" s="619">
        <f>+entero!CP11</f>
        <v>12.285928749999998</v>
      </c>
      <c r="CQ10" s="621">
        <f>+entero!CQ11</f>
        <v>-2.2453750000002159E-2</v>
      </c>
      <c r="CR10" s="536">
        <f>+entero!CR11</f>
        <v>-0.18242648861458433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1">
        <f>+entero!CL12</f>
        <v>17030.155970354372</v>
      </c>
      <c r="CM11" s="621">
        <f>+entero!CM12</f>
        <v>17049.389806276944</v>
      </c>
      <c r="CN11" s="621">
        <f>+entero!CN12</f>
        <v>17039.222362971723</v>
      </c>
      <c r="CO11" s="621">
        <f>+entero!CO12</f>
        <v>17071.789451358411</v>
      </c>
      <c r="CP11" s="621">
        <f>+entero!CP12</f>
        <v>17104.301830929984</v>
      </c>
      <c r="CQ11" s="621">
        <f>+entero!CQ12</f>
        <v>49.72653093039844</v>
      </c>
      <c r="CR11" s="536">
        <f>+entero!CR12</f>
        <v>0.29157296535200494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21">
        <f>+entero!CL13</f>
        <v>13038.100561130001</v>
      </c>
      <c r="CM12" s="621">
        <f>+entero!CM13</f>
        <v>13051.799532290001</v>
      </c>
      <c r="CN12" s="621">
        <f>+entero!CN13</f>
        <v>13027.062911350002</v>
      </c>
      <c r="CO12" s="621">
        <f>+entero!CO13</f>
        <v>13024.530894410002</v>
      </c>
      <c r="CP12" s="621">
        <f>+entero!CP13</f>
        <v>13050.380439330002</v>
      </c>
      <c r="CQ12" s="621">
        <f>+entero!CQ13</f>
        <v>-5.5196242599995458</v>
      </c>
      <c r="CR12" s="536">
        <f>+entero!CR13</f>
        <v>-4.2276857459966344E-2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2609.1850426851315</v>
      </c>
      <c r="CM13" s="620">
        <f>+entero!CM14</f>
        <v>2614.7215693688045</v>
      </c>
      <c r="CN13" s="620">
        <f>+entero!CN14</f>
        <v>2629.265105154519</v>
      </c>
      <c r="CO13" s="620">
        <f>+entero!CO14</f>
        <v>2664.3353818527698</v>
      </c>
      <c r="CP13" s="620">
        <f>+entero!CP14</f>
        <v>2670.9671258177837</v>
      </c>
      <c r="CQ13" s="621">
        <f>+entero!CQ14</f>
        <v>55.09545830757952</v>
      </c>
      <c r="CR13" s="536">
        <f>+entero!CR14</f>
        <v>2.106198824349037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18" t="s">
        <v>206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1">
        <f>+entero!CL15</f>
        <v>531.57363320000002</v>
      </c>
      <c r="CM14" s="621">
        <f>+entero!CM15</f>
        <v>531.53198547080001</v>
      </c>
      <c r="CN14" s="621">
        <f>+entero!CN15</f>
        <v>531.54231795730004</v>
      </c>
      <c r="CO14" s="621">
        <f>+entero!CO15</f>
        <v>531.552650804</v>
      </c>
      <c r="CP14" s="621">
        <f>+entero!CP15</f>
        <v>531.56297965399995</v>
      </c>
      <c r="CQ14" s="621">
        <f>+entero!CQ15</f>
        <v>1.5248804299972107E-2</v>
      </c>
      <c r="CR14" s="536">
        <f>+entero!CR15</f>
        <v>2.868755412732682E-3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1">
        <f>+entero!CL16</f>
        <v>851.29673333923995</v>
      </c>
      <c r="CM15" s="621">
        <f>+entero!CM16</f>
        <v>851.33671914733998</v>
      </c>
      <c r="CN15" s="621">
        <f>+entero!CN16</f>
        <v>851.35202850990004</v>
      </c>
      <c r="CO15" s="621">
        <f>+entero!CO16</f>
        <v>851.37052429163998</v>
      </c>
      <c r="CP15" s="621">
        <f>+entero!CP16</f>
        <v>851.39128612820002</v>
      </c>
      <c r="CQ15" s="621">
        <f>+entero!CQ16</f>
        <v>0.1354480785199712</v>
      </c>
      <c r="CR15" s="536">
        <f>+entero!CR16</f>
        <v>1.5911559423820165E-2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74">
        <f>+entero!CL17</f>
        <v>52</v>
      </c>
      <c r="CM16" s="74">
        <f>+entero!CM17</f>
        <v>0</v>
      </c>
      <c r="CN16" s="74">
        <f>+entero!CN17</f>
        <v>0</v>
      </c>
      <c r="CO16" s="74">
        <f>+entero!CO17</f>
        <v>6</v>
      </c>
      <c r="CP16" s="74">
        <f>+entero!CP17</f>
        <v>1.2</v>
      </c>
      <c r="CQ16" s="747">
        <f>+entero!CQ17</f>
        <v>35.600000000000009</v>
      </c>
      <c r="CR16" s="537">
        <f>+entero!CR17</f>
        <v>178.00000000000003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0</v>
      </c>
      <c r="CQ17" s="747">
        <f>+entero!CQ18</f>
        <v>0</v>
      </c>
      <c r="CR17" s="537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7">
        <f>+entero!CQ19</f>
        <v>0</v>
      </c>
      <c r="CR18" s="537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7">
        <f>+entero!CQ20</f>
        <v>0</v>
      </c>
      <c r="CR19" s="537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83">
        <f>+entero!CL21</f>
        <v>26</v>
      </c>
      <c r="CM20" s="83">
        <f>+entero!CM21</f>
        <v>5</v>
      </c>
      <c r="CN20" s="83">
        <f>+entero!CN21</f>
        <v>2</v>
      </c>
      <c r="CO20" s="83">
        <f>+entero!CO21</f>
        <v>11.7</v>
      </c>
      <c r="CP20" s="83">
        <f>+entero!CP21</f>
        <v>15</v>
      </c>
      <c r="CQ20" s="748">
        <f>+entero!CQ21</f>
        <v>3.5</v>
      </c>
      <c r="CR20" s="749">
        <f>+entero!CR21</f>
        <v>4.8275862068965614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42382.504504861114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19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19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19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U3:U4"/>
    <mergeCell ref="AR3:AR4"/>
    <mergeCell ref="AQ3:AQ4"/>
    <mergeCell ref="AV3:AV4"/>
    <mergeCell ref="AG3:AG4"/>
    <mergeCell ref="Y3:Y4"/>
    <mergeCell ref="AD3:AD4"/>
    <mergeCell ref="AB3:AB4"/>
    <mergeCell ref="AF3:AF4"/>
    <mergeCell ref="AA3:AA4"/>
    <mergeCell ref="AC3:AC4"/>
    <mergeCell ref="AE3:AE4"/>
    <mergeCell ref="Z3:Z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L14:CQ15 CL17:CQ17 CQ13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30">
        <f>+entero!CL23</f>
        <v>71612.644631090487</v>
      </c>
      <c r="CM6" s="631">
        <f>+entero!CM23</f>
        <v>71642.019106518157</v>
      </c>
      <c r="CN6" s="631">
        <f>+entero!CN23</f>
        <v>71536.057946369823</v>
      </c>
      <c r="CO6" s="631">
        <f>+entero!CO23</f>
        <v>71341.837458126698</v>
      </c>
      <c r="CP6" s="632">
        <f>+entero!CP23</f>
        <v>71849.054698427353</v>
      </c>
      <c r="CQ6" s="630">
        <f>+entero!CQ23</f>
        <v>282.50092084053904</v>
      </c>
      <c r="CR6" s="538">
        <f>+entero!CR23</f>
        <v>0.39473875145432658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30">
        <f>+entero!CL24</f>
        <v>43021.676438489994</v>
      </c>
      <c r="CM7" s="631">
        <f>+entero!CM24</f>
        <v>43012.202557489996</v>
      </c>
      <c r="CN7" s="631">
        <f>+entero!CN24</f>
        <v>43171.313878589994</v>
      </c>
      <c r="CO7" s="631">
        <f>+entero!CO24</f>
        <v>43039.264758589998</v>
      </c>
      <c r="CP7" s="632">
        <f>+entero!CP24</f>
        <v>42977.977411089996</v>
      </c>
      <c r="CQ7" s="630">
        <f>+entero!CQ24</f>
        <v>54.938862399991194</v>
      </c>
      <c r="CR7" s="538">
        <f>+entero!CR24</f>
        <v>0.12799387987798561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30">
        <f>+entero!CL25</f>
        <v>-46419.693410617292</v>
      </c>
      <c r="CM8" s="631">
        <f>+entero!CM25</f>
        <v>-46523.142233785955</v>
      </c>
      <c r="CN8" s="631">
        <f>+entero!CN25</f>
        <v>-46194.337693107773</v>
      </c>
      <c r="CO8" s="631">
        <f>+entero!CO25</f>
        <v>-46309.017176903799</v>
      </c>
      <c r="CP8" s="632">
        <f>+entero!CP25</f>
        <v>-46547.632402527408</v>
      </c>
      <c r="CQ8" s="630">
        <f>+entero!CQ25</f>
        <v>92.803484777927224</v>
      </c>
      <c r="CR8" s="538">
        <f>+entero!CR25</f>
        <v>-0.1989764525403781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30">
        <f>+entero!CL26</f>
        <v>-16007.242405251698</v>
      </c>
      <c r="CM9" s="631">
        <f>+entero!CM26</f>
        <v>-16024.925633316845</v>
      </c>
      <c r="CN9" s="631">
        <f>+entero!CN26</f>
        <v>-15993.339780843378</v>
      </c>
      <c r="CO9" s="631">
        <f>+entero!CO26</f>
        <v>-16042.846197190724</v>
      </c>
      <c r="CP9" s="632">
        <f>+entero!CP26</f>
        <v>-15963.404551164456</v>
      </c>
      <c r="CQ9" s="630">
        <f>+entero!CQ26</f>
        <v>-101.32177908238191</v>
      </c>
      <c r="CR9" s="538">
        <f>+entero!CR26</f>
        <v>0.63876718170146063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30">
        <f>+entero!CL27</f>
        <v>5516.8584689171994</v>
      </c>
      <c r="CM10" s="631">
        <f>+entero!CM27</f>
        <v>5516.8294890879997</v>
      </c>
      <c r="CN10" s="631">
        <f>+entero!CN27</f>
        <v>5516.7655952062014</v>
      </c>
      <c r="CO10" s="631">
        <f>+entero!CO27</f>
        <v>5516.8254806756004</v>
      </c>
      <c r="CP10" s="632">
        <f>+entero!CP27</f>
        <v>5516.9562616076</v>
      </c>
      <c r="CQ10" s="630">
        <f>+entero!CQ27</f>
        <v>5.1843975000338105E-2</v>
      </c>
      <c r="CR10" s="538">
        <f>+entero!CR27</f>
        <v>9.3972944019693472E-4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4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4"/>
      <c r="CM11" s="635"/>
      <c r="CN11" s="635"/>
      <c r="CO11" s="635"/>
      <c r="CP11" s="636"/>
      <c r="CQ11" s="630"/>
      <c r="CR11" s="538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70415.522331254106</v>
      </c>
      <c r="CL12" s="637">
        <f>+entero!CL29</f>
        <v>70715.480745134089</v>
      </c>
      <c r="CM12" s="638">
        <f>+entero!CM29</f>
        <v>70663.69169601411</v>
      </c>
      <c r="CN12" s="638">
        <f>+entero!CN29</f>
        <v>70604.399795344099</v>
      </c>
      <c r="CO12" s="638">
        <f>+entero!CO29</f>
        <v>70717.062881094098</v>
      </c>
      <c r="CP12" s="639">
        <f>+entero!CP29</f>
        <v>70780.783315364097</v>
      </c>
      <c r="CQ12" s="630">
        <f>+entero!CQ29</f>
        <v>365.26098410999111</v>
      </c>
      <c r="CR12" s="538">
        <f>+entero!CR29</f>
        <v>0.51872225330049648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126563.78912789539</v>
      </c>
      <c r="CL13" s="637">
        <f>+entero!CL30</f>
        <v>126248.12105970536</v>
      </c>
      <c r="CM13" s="638">
        <f>+entero!CM30</f>
        <v>126106.66328036538</v>
      </c>
      <c r="CN13" s="638">
        <f>+entero!CN30</f>
        <v>126054.22624429535</v>
      </c>
      <c r="CO13" s="638">
        <f>+entero!CO30</f>
        <v>125969.14415681538</v>
      </c>
      <c r="CP13" s="639">
        <f>+entero!CP30</f>
        <v>125971.97729390537</v>
      </c>
      <c r="CQ13" s="630">
        <f>+entero!CQ30</f>
        <v>-591.81183399002475</v>
      </c>
      <c r="CR13" s="538">
        <f>+entero!CR30</f>
        <v>-0.46759964921087027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185452.01921796292</v>
      </c>
      <c r="CL14" s="637">
        <f>+entero!CL31</f>
        <v>185086.50812123294</v>
      </c>
      <c r="CM14" s="638">
        <f>+entero!CM31</f>
        <v>184975.44755822292</v>
      </c>
      <c r="CN14" s="638">
        <f>+entero!CN31</f>
        <v>184813.22965021292</v>
      </c>
      <c r="CO14" s="638">
        <f>+entero!CO31</f>
        <v>184744.79402879294</v>
      </c>
      <c r="CP14" s="639">
        <f>+entero!CP31</f>
        <v>184700.92896539293</v>
      </c>
      <c r="CQ14" s="630">
        <f>+entero!CQ31</f>
        <v>-751.09025256999303</v>
      </c>
      <c r="CR14" s="538">
        <f>+entero!CR31</f>
        <v>-0.4050051629188367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38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87.772344325707394</v>
      </c>
      <c r="CL16" s="82">
        <f>+entero!CL33</f>
        <v>87.836985084157604</v>
      </c>
      <c r="CM16" s="594">
        <f>+entero!CM33</f>
        <v>87.877365345513709</v>
      </c>
      <c r="CN16" s="594">
        <f>+entero!CN33</f>
        <v>87.738444347654905</v>
      </c>
      <c r="CO16" s="594">
        <f>+entero!CO33</f>
        <v>87.501479313017001</v>
      </c>
      <c r="CP16" s="641">
        <f>+entero!CP33</f>
        <v>87.60292091746939</v>
      </c>
      <c r="CQ16" s="95"/>
      <c r="CR16" s="538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84.35478924688779</v>
      </c>
      <c r="CL17" s="82">
        <f>+entero!CL34</f>
        <v>84.331791441894794</v>
      </c>
      <c r="CM17" s="594">
        <f>+entero!CM34</f>
        <v>84.250125555208299</v>
      </c>
      <c r="CN17" s="594">
        <f>+entero!CN34</f>
        <v>84.1602246566665</v>
      </c>
      <c r="CO17" s="594">
        <f>+entero!CO34</f>
        <v>84.009555127572895</v>
      </c>
      <c r="CP17" s="641">
        <f>+entero!CP34</f>
        <v>83.9965647664649</v>
      </c>
      <c r="CQ17" s="95"/>
      <c r="CR17" s="538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86.529107487041998</v>
      </c>
      <c r="CL18" s="90">
        <f>+entero!CL35</f>
        <v>86.521390125464208</v>
      </c>
      <c r="CM18" s="643">
        <f>+entero!CM35</f>
        <v>86.465396008958592</v>
      </c>
      <c r="CN18" s="643">
        <f>+entero!CN35</f>
        <v>86.398239856735799</v>
      </c>
      <c r="CO18" s="643">
        <f>+entero!CO35</f>
        <v>86.305282688659204</v>
      </c>
      <c r="CP18" s="644">
        <f>+entero!CP35</f>
        <v>86.305230850061804</v>
      </c>
      <c r="CQ18" s="97"/>
      <c r="CR18" s="539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BZ3:BZ4"/>
    <mergeCell ref="CA3:CA4"/>
    <mergeCell ref="CB3:CB4"/>
    <mergeCell ref="CC3:CC4"/>
    <mergeCell ref="CH3:CH4"/>
    <mergeCell ref="CF3:CF4"/>
    <mergeCell ref="CI3:CI4"/>
    <mergeCell ref="CJ3:CJ4"/>
    <mergeCell ref="CK3:CK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L3:CP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AW3:AW4"/>
    <mergeCell ref="AI3:AI4"/>
    <mergeCell ref="BS3:BS4"/>
    <mergeCell ref="BV3:BV4"/>
    <mergeCell ref="BW3:BW4"/>
    <mergeCell ref="BX3:BX4"/>
    <mergeCell ref="BJ3:BJ4"/>
    <mergeCell ref="AG3:AG4"/>
    <mergeCell ref="AQ3:AQ4"/>
    <mergeCell ref="BI3:BI4"/>
    <mergeCell ref="BF3:BF4"/>
    <mergeCell ref="BG3:BG4"/>
    <mergeCell ref="AV3:AV4"/>
    <mergeCell ref="BH3:BH4"/>
    <mergeCell ref="AU3:AU4"/>
    <mergeCell ref="AR3:AR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6">
        <f>+entero!CL37</f>
        <v>2981.7591486880456</v>
      </c>
      <c r="CM6" s="647">
        <f>+entero!CM37</f>
        <v>2981.7591486880456</v>
      </c>
      <c r="CN6" s="647">
        <f>+entero!CN37</f>
        <v>2981.7591486880456</v>
      </c>
      <c r="CO6" s="647">
        <f>+entero!CO37</f>
        <v>2981.7591486880456</v>
      </c>
      <c r="CP6" s="648">
        <f>+entero!CP37</f>
        <v>2840.4618017492703</v>
      </c>
      <c r="CQ6" s="646">
        <f>+entero!CQ37</f>
        <v>-141.29734693877526</v>
      </c>
      <c r="CR6" s="676">
        <f>+entero!CR37</f>
        <v>-4.7387243534054431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30">
        <f>+entero!CL38</f>
        <v>1512.9053586005834</v>
      </c>
      <c r="CM7" s="631">
        <f>+entero!CM38</f>
        <v>1512.9053586005834</v>
      </c>
      <c r="CN7" s="631">
        <f>+entero!CN38</f>
        <v>1512.9053586005834</v>
      </c>
      <c r="CO7" s="631">
        <f>+entero!CO38</f>
        <v>1512.9053586005834</v>
      </c>
      <c r="CP7" s="632">
        <f>+entero!CP38</f>
        <v>1508.5676326530618</v>
      </c>
      <c r="CQ7" s="630">
        <f>+entero!CQ38</f>
        <v>-4.3377259475216761</v>
      </c>
      <c r="CR7" s="677">
        <f>+entero!CR38</f>
        <v>-0.28671495694443383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30">
        <f>+entero!CL39</f>
        <v>10378.530760000003</v>
      </c>
      <c r="CM8" s="631">
        <f>+entero!CM39</f>
        <v>10378.530760000003</v>
      </c>
      <c r="CN8" s="631">
        <f>+entero!CN39</f>
        <v>10378.530760000003</v>
      </c>
      <c r="CO8" s="631">
        <f>+entero!CO39</f>
        <v>10378.530760000003</v>
      </c>
      <c r="CP8" s="632">
        <f>+entero!CP39</f>
        <v>10348.773960000004</v>
      </c>
      <c r="CQ8" s="630">
        <f>+entero!CQ39</f>
        <v>-29.756799999999203</v>
      </c>
      <c r="CR8" s="677">
        <f>+entero!CR39</f>
        <v>-0.28671495694443383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30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2">
        <f>+entero!CP40</f>
        <v>0</v>
      </c>
      <c r="CQ9" s="630" t="str">
        <f>+entero!CQ40</f>
        <v xml:space="preserve"> </v>
      </c>
      <c r="CR9" s="67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30">
        <f>+entero!CL41</f>
        <v>1468.8537900874624</v>
      </c>
      <c r="CM10" s="631">
        <f>+entero!CM41</f>
        <v>1468.8537900874624</v>
      </c>
      <c r="CN10" s="631">
        <f>+entero!CN41</f>
        <v>1468.8537900874624</v>
      </c>
      <c r="CO10" s="631">
        <f>+entero!CO41</f>
        <v>1468.8537900874624</v>
      </c>
      <c r="CP10" s="632">
        <f>+entero!CP41</f>
        <v>1331.8941690962088</v>
      </c>
      <c r="CQ10" s="630">
        <f>+entero!CQ41</f>
        <v>-136.95962099125359</v>
      </c>
      <c r="CR10" s="677">
        <f>+entero!CR41</f>
        <v>-9.3242514616174503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30">
        <f>+entero!CL42</f>
        <v>10076.336999999992</v>
      </c>
      <c r="CM11" s="631">
        <f>+entero!CM42</f>
        <v>10076.336999999992</v>
      </c>
      <c r="CN11" s="631">
        <f>+entero!CN42</f>
        <v>10076.336999999992</v>
      </c>
      <c r="CO11" s="631">
        <f>+entero!CO42</f>
        <v>10076.336999999992</v>
      </c>
      <c r="CP11" s="632">
        <f>+entero!CP42</f>
        <v>9136.7939999999926</v>
      </c>
      <c r="CQ11" s="630">
        <f>+entero!CQ42</f>
        <v>-939.54299999999967</v>
      </c>
      <c r="CR11" s="677">
        <f>+entero!CR42</f>
        <v>-9.3242514616174503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30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2">
        <f>+entero!CP44</f>
        <v>0</v>
      </c>
      <c r="CQ12" s="630" t="str">
        <f>+entero!CQ44</f>
        <v xml:space="preserve"> </v>
      </c>
      <c r="CR12" s="67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12">
        <f>+entero!CL45</f>
        <v>0.65</v>
      </c>
      <c r="CM13" s="9">
        <f>+entero!CM45</f>
        <v>0.65</v>
      </c>
      <c r="CN13" s="9">
        <f>+entero!CN45</f>
        <v>0.65</v>
      </c>
      <c r="CO13" s="9">
        <f>+entero!CO45</f>
        <v>0.65</v>
      </c>
      <c r="CP13" s="349">
        <f>+entero!CP45</f>
        <v>0.65</v>
      </c>
      <c r="CQ13" s="674">
        <f>+entero!CQ45</f>
        <v>0</v>
      </c>
      <c r="CR13" s="677">
        <f>+entero!CR45</f>
        <v>0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12">
        <f>+entero!CL46</f>
        <v>0.65</v>
      </c>
      <c r="CM14" s="9">
        <f>+entero!CM46</f>
        <v>0.65</v>
      </c>
      <c r="CN14" s="9">
        <f>+entero!CN46</f>
        <v>0.65</v>
      </c>
      <c r="CO14" s="9">
        <f>+entero!CO46</f>
        <v>0.65</v>
      </c>
      <c r="CP14" s="349">
        <f>+entero!CP46</f>
        <v>0.65</v>
      </c>
      <c r="CQ14" s="674">
        <f>+entero!CQ46</f>
        <v>0</v>
      </c>
      <c r="CR14" s="677">
        <f>+entero!CR46</f>
        <v>0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</v>
      </c>
      <c r="CQ15" s="674">
        <f>+entero!CQ47</f>
        <v>0</v>
      </c>
      <c r="CR15" s="71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12">
        <f>+entero!CL48</f>
        <v>0.65</v>
      </c>
      <c r="CM16" s="9">
        <f>+entero!CM48</f>
        <v>0.65</v>
      </c>
      <c r="CN16" s="9">
        <f>+entero!CN48</f>
        <v>0.65</v>
      </c>
      <c r="CO16" s="9">
        <f>+entero!CO48</f>
        <v>0.65</v>
      </c>
      <c r="CP16" s="349">
        <f>+entero!CP48</f>
        <v>0.65</v>
      </c>
      <c r="CQ16" s="674">
        <f>+entero!CQ48</f>
        <v>0</v>
      </c>
      <c r="CR16" s="677">
        <f>+entero!CR48</f>
        <v>0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74">
        <f>+entero!CQ49</f>
        <v>0</v>
      </c>
      <c r="CR17" s="71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74">
        <f>+entero!CQ50</f>
        <v>0</v>
      </c>
      <c r="CR18" s="71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75">
        <f>+entero!CQ51</f>
        <v>0</v>
      </c>
      <c r="CR19" s="72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7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7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Q3:CR3"/>
    <mergeCell ref="CL3:C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493" t="s">
        <v>207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22957.548800813831</v>
      </c>
      <c r="CL6" s="649">
        <f>+entero!CL53</f>
        <v>22888.921636211795</v>
      </c>
      <c r="CM6" s="650">
        <f>+entero!CM53</f>
        <v>22867.92413983716</v>
      </c>
      <c r="CN6" s="650">
        <f>+entero!CN53</f>
        <v>22852.509804111214</v>
      </c>
      <c r="CO6" s="650">
        <f>+entero!CO53</f>
        <v>22856.291897369232</v>
      </c>
      <c r="CP6" s="651">
        <f>+entero!CP53</f>
        <v>22850.934055837162</v>
      </c>
      <c r="CQ6" s="649">
        <f>+entero!CQ53</f>
        <v>-106.61474497666859</v>
      </c>
      <c r="CR6" s="540">
        <f>+entero!CR53</f>
        <v>-0.4643995136488166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88" t="s">
        <v>211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83.729348672449305</v>
      </c>
      <c r="CL7" s="681">
        <f>+entero!CL54</f>
        <v>83.68711777829941</v>
      </c>
      <c r="CM7" s="682">
        <f>+entero!CM54</f>
        <v>83.616228941333205</v>
      </c>
      <c r="CN7" s="682">
        <f>+entero!CN54</f>
        <v>83.529754602028603</v>
      </c>
      <c r="CO7" s="682">
        <f>+entero!CO54</f>
        <v>83.416270987212798</v>
      </c>
      <c r="CP7" s="683">
        <f>+entero!CP54</f>
        <v>83.404016957250207</v>
      </c>
      <c r="CQ7" s="649"/>
      <c r="CR7" s="540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193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20201.65215836911</v>
      </c>
      <c r="CK8" s="490">
        <f>+entero!CK55</f>
        <v>21615.324113000424</v>
      </c>
      <c r="CL8" s="649">
        <f>+entero!CL55</f>
        <v>21541.819863939203</v>
      </c>
      <c r="CM8" s="650">
        <f>+entero!CM55</f>
        <v>21518.751918904218</v>
      </c>
      <c r="CN8" s="650">
        <f>+entero!CN55</f>
        <v>21501.201879506258</v>
      </c>
      <c r="CO8" s="650">
        <f>+entero!CO55</f>
        <v>21503.468699863402</v>
      </c>
      <c r="CP8" s="651">
        <f>+entero!CP55</f>
        <v>21497.04714074824</v>
      </c>
      <c r="CQ8" s="649">
        <f>+entero!CQ55</f>
        <v>-118.27697225218435</v>
      </c>
      <c r="CR8" s="540">
        <f>+entero!CR55</f>
        <v>-0.54719037121006009</v>
      </c>
      <c r="CS8" s="3"/>
      <c r="CT8" s="491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79" t="s">
        <v>187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82.675073090141609</v>
      </c>
      <c r="CL9" s="681">
        <f>+entero!CL56</f>
        <v>82.636181200777798</v>
      </c>
      <c r="CM9" s="682">
        <f>+entero!CM56</f>
        <v>82.554164537403295</v>
      </c>
      <c r="CN9" s="682">
        <f>+entero!CN56</f>
        <v>82.4595051416985</v>
      </c>
      <c r="CO9" s="682">
        <f>+entero!CO56</f>
        <v>82.347227903237496</v>
      </c>
      <c r="CP9" s="683">
        <f>+entero!CP56</f>
        <v>82.336709780317591</v>
      </c>
      <c r="CQ9" s="649"/>
      <c r="CR9" s="541"/>
      <c r="CS9" s="3"/>
      <c r="CT9" s="491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49"/>
      <c r="CR10" s="540"/>
      <c r="CS10" s="3"/>
      <c r="CT10" s="49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188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4846.1554706230481</v>
      </c>
      <c r="CL11" s="649">
        <f>+entero!CL58</f>
        <v>4869.6584388519104</v>
      </c>
      <c r="CM11" s="650">
        <f>+entero!CM58</f>
        <v>4855.2306561915602</v>
      </c>
      <c r="CN11" s="650">
        <f>+entero!CN58</f>
        <v>4852.6844079510347</v>
      </c>
      <c r="CO11" s="650">
        <f>+entero!CO58</f>
        <v>4881.3504567586151</v>
      </c>
      <c r="CP11" s="651">
        <f>+entero!CP58</f>
        <v>4890.6119147965173</v>
      </c>
      <c r="CQ11" s="649">
        <f>+entero!CQ58</f>
        <v>44.456444173469208</v>
      </c>
      <c r="CR11" s="540">
        <f>+entero!CR58</f>
        <v>0.91735488972568557</v>
      </c>
      <c r="CS11" s="3"/>
      <c r="CT11" s="49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85" t="s">
        <v>187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74.100573503072098</v>
      </c>
      <c r="CL12" s="681">
        <f>+entero!CL59</f>
        <v>74.252615345184708</v>
      </c>
      <c r="CM12" s="682">
        <f>+entero!CM59</f>
        <v>74.280687396246506</v>
      </c>
      <c r="CN12" s="682">
        <f>+entero!CN59</f>
        <v>73.994142691042697</v>
      </c>
      <c r="CO12" s="682">
        <f>+entero!CO59</f>
        <v>73.605178864201108</v>
      </c>
      <c r="CP12" s="683">
        <f>+entero!CP59</f>
        <v>73.8454399602103</v>
      </c>
      <c r="CQ12" s="649"/>
      <c r="CR12" s="540"/>
      <c r="CS12" s="3"/>
      <c r="CT12" s="491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49"/>
      <c r="CR13" s="540"/>
      <c r="CS13" s="3"/>
      <c r="CT13" s="491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189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8184.878541784441</v>
      </c>
      <c r="CL14" s="649">
        <f>+entero!CL61</f>
        <v>8095.1370720949371</v>
      </c>
      <c r="CM14" s="650">
        <f>+entero!CM61</f>
        <v>8082.0658286226326</v>
      </c>
      <c r="CN14" s="650">
        <f>+entero!CN61</f>
        <v>8083.0650800220492</v>
      </c>
      <c r="CO14" s="650">
        <f>+entero!CO61</f>
        <v>8054.2392530205943</v>
      </c>
      <c r="CP14" s="651">
        <f>+entero!CP61</f>
        <v>8045.3635537232167</v>
      </c>
      <c r="CQ14" s="649">
        <f>+entero!CQ61</f>
        <v>-139.51498806122436</v>
      </c>
      <c r="CR14" s="540">
        <f>+entero!CR61</f>
        <v>-1.7045456123629621</v>
      </c>
      <c r="CS14" s="3"/>
      <c r="CT14" s="491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85" t="s">
        <v>187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80.068834582561294</v>
      </c>
      <c r="CL15" s="681">
        <f>+entero!CL62</f>
        <v>79.868264188133793</v>
      </c>
      <c r="CM15" s="682">
        <f>+entero!CM62</f>
        <v>79.6271021687418</v>
      </c>
      <c r="CN15" s="682">
        <f>+entero!CN62</f>
        <v>79.604068762279596</v>
      </c>
      <c r="CO15" s="682">
        <f>+entero!CO62</f>
        <v>79.540246162255002</v>
      </c>
      <c r="CP15" s="683">
        <f>+entero!CP62</f>
        <v>79.371538654844102</v>
      </c>
      <c r="CQ15" s="649"/>
      <c r="CR15" s="540"/>
      <c r="CS15" s="3"/>
      <c r="CT15" s="491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49"/>
      <c r="CR16" s="540"/>
      <c r="CS16" s="3"/>
      <c r="CT16" s="491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190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8012.8718697069908</v>
      </c>
      <c r="CL17" s="649">
        <f>+entero!CL64</f>
        <v>8003.7499319781282</v>
      </c>
      <c r="CM17" s="650">
        <f>+entero!CM64</f>
        <v>8000.0772409300243</v>
      </c>
      <c r="CN17" s="650">
        <f>+entero!CN64</f>
        <v>7992.9812248804619</v>
      </c>
      <c r="CO17" s="650">
        <f>+entero!CO64</f>
        <v>7995.2116129096175</v>
      </c>
      <c r="CP17" s="651">
        <f>+entero!CP64</f>
        <v>7993.1147763279832</v>
      </c>
      <c r="CQ17" s="649">
        <f>+entero!CQ64</f>
        <v>-19.757093379007529</v>
      </c>
      <c r="CR17" s="540">
        <f>+entero!CR64</f>
        <v>-0.24656694503877308</v>
      </c>
      <c r="CS17" s="3"/>
      <c r="CT17" s="491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85" t="s">
        <v>187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92.335103473795698</v>
      </c>
      <c r="CL18" s="681">
        <f>+entero!CL65</f>
        <v>92.349080973866705</v>
      </c>
      <c r="CM18" s="682">
        <f>+entero!CM65</f>
        <v>92.334609118130089</v>
      </c>
      <c r="CN18" s="682">
        <f>+entero!CN65</f>
        <v>92.327673978871005</v>
      </c>
      <c r="CO18" s="682">
        <f>+entero!CO65</f>
        <v>92.347268774556795</v>
      </c>
      <c r="CP18" s="683">
        <f>+entero!CP65</f>
        <v>92.351023328068507</v>
      </c>
      <c r="CQ18" s="649"/>
      <c r="CR18" s="540"/>
      <c r="CS18" s="3"/>
      <c r="CT18" s="491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49"/>
      <c r="CR19" s="540"/>
      <c r="CS19" s="3"/>
      <c r="CT19" s="491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191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571.41823088594549</v>
      </c>
      <c r="CL20" s="649">
        <f>+entero!CL67</f>
        <v>573.27442101422537</v>
      </c>
      <c r="CM20" s="650">
        <f>+entero!CM67</f>
        <v>581.37819315999798</v>
      </c>
      <c r="CN20" s="650">
        <f>+entero!CN67</f>
        <v>572.47116665270948</v>
      </c>
      <c r="CO20" s="650">
        <f>+entero!CO67</f>
        <v>572.66737717457522</v>
      </c>
      <c r="CP20" s="651">
        <f>+entero!CP67</f>
        <v>567.95689590052257</v>
      </c>
      <c r="CQ20" s="649">
        <f>+entero!CQ67</f>
        <v>-3.4613349854229227</v>
      </c>
      <c r="CR20" s="540">
        <f>+entero!CR67</f>
        <v>-0.60574458397246733</v>
      </c>
      <c r="CS20" s="3"/>
      <c r="CT20" s="491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85" t="s">
        <v>187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75.315695408244395</v>
      </c>
      <c r="CL21" s="681">
        <f>+entero!CL68</f>
        <v>75.449789549305308</v>
      </c>
      <c r="CM21" s="682">
        <f>+entero!CM68</f>
        <v>75.7476343418097</v>
      </c>
      <c r="CN21" s="682">
        <f>+entero!CN68</f>
        <v>75.446136931404297</v>
      </c>
      <c r="CO21" s="682">
        <f>+entero!CO68</f>
        <v>75.564564762030997</v>
      </c>
      <c r="CP21" s="683">
        <f>+entero!CP68</f>
        <v>75.864169074863995</v>
      </c>
      <c r="CQ21" s="649"/>
      <c r="CR21" s="540"/>
      <c r="CS21" s="3"/>
      <c r="CT21" s="491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49"/>
      <c r="CR22" s="540"/>
      <c r="CS22" s="3"/>
      <c r="CT22" s="491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49"/>
      <c r="CR23" s="540"/>
      <c r="CS23" s="3"/>
      <c r="CT23" s="491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87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649">
        <f>+entero!CL70</f>
        <v>6526.1686984734697</v>
      </c>
      <c r="CM24" s="650">
        <f>+entero!CM70</f>
        <v>6524.5286237270893</v>
      </c>
      <c r="CN24" s="650">
        <f>+entero!CN70</f>
        <v>6492.4035635311538</v>
      </c>
      <c r="CO24" s="650">
        <f>+entero!CO70</f>
        <v>6485.6587280138019</v>
      </c>
      <c r="CP24" s="651">
        <f>+entero!CP70</f>
        <v>6576.1847335644597</v>
      </c>
      <c r="CQ24" s="649">
        <f>+entero!CQ70</f>
        <v>61.188135378508377</v>
      </c>
      <c r="CR24" s="540">
        <f>+entero!CR70</f>
        <v>0.93918906105869837</v>
      </c>
      <c r="CS24" s="3"/>
      <c r="CT24" s="491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87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649">
        <f>+entero!CL71</f>
        <v>3237.5147583870271</v>
      </c>
      <c r="CM25" s="650">
        <f>+entero!CM71</f>
        <v>3226.2032028913986</v>
      </c>
      <c r="CN25" s="650">
        <f>+entero!CN71</f>
        <v>3205.1284146494158</v>
      </c>
      <c r="CO25" s="650">
        <f>+entero!CO71</f>
        <v>3199.1229235685128</v>
      </c>
      <c r="CP25" s="651">
        <f>+entero!CP71</f>
        <v>3300.4772640182209</v>
      </c>
      <c r="CQ25" s="649">
        <f>+entero!CQ71</f>
        <v>88.634020827259974</v>
      </c>
      <c r="CR25" s="540">
        <f>+entero!CR71</f>
        <v>2.7595998346171546</v>
      </c>
      <c r="CS25" s="3"/>
      <c r="CT25" s="491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87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649">
        <f>+entero!CL72</f>
        <v>636.9356508309038</v>
      </c>
      <c r="CM26" s="650">
        <f>+entero!CM72</f>
        <v>658.6847434358599</v>
      </c>
      <c r="CN26" s="650">
        <f>+entero!CN72</f>
        <v>658.68591099125365</v>
      </c>
      <c r="CO26" s="650">
        <f>+entero!CO72</f>
        <v>658.69136242128275</v>
      </c>
      <c r="CP26" s="651">
        <f>+entero!CP72</f>
        <v>658.69498801166162</v>
      </c>
      <c r="CQ26" s="649">
        <f>+entero!CQ72</f>
        <v>21.77234051749258</v>
      </c>
      <c r="CR26" s="540">
        <f>+entero!CR72</f>
        <v>3.4183649463794374</v>
      </c>
      <c r="CS26" s="3"/>
      <c r="CT26" s="491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87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649">
        <f>+entero!CL73</f>
        <v>891.47844682553955</v>
      </c>
      <c r="CM27" s="650">
        <f>+entero!CM73</f>
        <v>882.53762096983075</v>
      </c>
      <c r="CN27" s="650">
        <f>+entero!CN73</f>
        <v>871.48053295048373</v>
      </c>
      <c r="CO27" s="650">
        <f>+entero!CO73</f>
        <v>870.64536071400585</v>
      </c>
      <c r="CP27" s="651">
        <f>+entero!CP73</f>
        <v>859.72019957457735</v>
      </c>
      <c r="CQ27" s="649">
        <f>+entero!CQ73</f>
        <v>-46.181587896244764</v>
      </c>
      <c r="CR27" s="540">
        <f>+entero!CR73</f>
        <v>-5.097858127113164</v>
      </c>
      <c r="CS27" s="3"/>
      <c r="CT27" s="491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87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649">
        <f>+entero!CL74</f>
        <v>1760.23984243</v>
      </c>
      <c r="CM28" s="650">
        <f>+entero!CM74</f>
        <v>1757.1030564299997</v>
      </c>
      <c r="CN28" s="650">
        <f>+entero!CN74</f>
        <v>1757.1087049400001</v>
      </c>
      <c r="CO28" s="650">
        <f>+entero!CO74</f>
        <v>1757.1990813099999</v>
      </c>
      <c r="CP28" s="651">
        <f>+entero!CP74</f>
        <v>1757.2922819600001</v>
      </c>
      <c r="CQ28" s="649">
        <f>+entero!CQ74</f>
        <v>-3.0366380699997535</v>
      </c>
      <c r="CR28" s="540">
        <f>+entero!CR74</f>
        <v>-0.17250401532618032</v>
      </c>
      <c r="CS28" s="3"/>
      <c r="CT28" s="491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87" t="s">
        <v>217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649">
        <f>+entero!CL75</f>
        <v>2759.5058987123712</v>
      </c>
      <c r="CM29" s="650">
        <f>+entero!CM75</f>
        <v>2735.1748530980985</v>
      </c>
      <c r="CN29" s="650">
        <f>+entero!CN75</f>
        <v>2697.9482655421912</v>
      </c>
      <c r="CO29" s="650">
        <f>+entero!CO75</f>
        <v>2669.3074760212558</v>
      </c>
      <c r="CP29" s="651">
        <f>+entero!CP75</f>
        <v>2759.7354101411343</v>
      </c>
      <c r="CQ29" s="649">
        <f>+entero!CQ75</f>
        <v>12.282727102907302</v>
      </c>
      <c r="CR29" s="540">
        <f>+entero!CR75</f>
        <v>0.44705873111978711</v>
      </c>
      <c r="CS29" s="3"/>
      <c r="CT29" s="491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87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649">
        <f>+entero!CL76</f>
        <v>2384.3142427368316</v>
      </c>
      <c r="CM30" s="650">
        <f>+entero!CM76</f>
        <v>2369.8903983682681</v>
      </c>
      <c r="CN30" s="650">
        <f>+entero!CN76</f>
        <v>2343.4653888417074</v>
      </c>
      <c r="CO30" s="650">
        <f>+entero!CO76</f>
        <v>2314.98080201725</v>
      </c>
      <c r="CP30" s="651">
        <f>+entero!CP76</f>
        <v>2416.3339021065567</v>
      </c>
      <c r="CQ30" s="649">
        <f>+entero!CQ76</f>
        <v>58.511364059151674</v>
      </c>
      <c r="CR30" s="540">
        <f>+entero!CR76</f>
        <v>2.481584729765407</v>
      </c>
      <c r="CS30" s="3"/>
      <c r="CT30" s="491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87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649">
        <f>+entero!CL77</f>
        <v>375.1916559755395</v>
      </c>
      <c r="CM31" s="650">
        <f>+entero!CM77</f>
        <v>365.28445472983088</v>
      </c>
      <c r="CN31" s="650">
        <f>+entero!CN77</f>
        <v>354.4828767004837</v>
      </c>
      <c r="CO31" s="650">
        <f>+entero!CO77</f>
        <v>354.32667400400584</v>
      </c>
      <c r="CP31" s="651">
        <f>+entero!CP77</f>
        <v>343.40150803457732</v>
      </c>
      <c r="CQ31" s="649">
        <f>+entero!CQ77</f>
        <v>-46.228636956244941</v>
      </c>
      <c r="CR31" s="540">
        <f>+entero!CR77</f>
        <v>-11.864748544375036</v>
      </c>
      <c r="CS31" s="3"/>
      <c r="CT31" s="491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87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649">
        <f>+entero!CL78</f>
        <v>0</v>
      </c>
      <c r="CM32" s="650">
        <f>+entero!CM78</f>
        <v>0</v>
      </c>
      <c r="CN32" s="650">
        <f>+entero!CN78</f>
        <v>0</v>
      </c>
      <c r="CO32" s="650">
        <f>+entero!CO78</f>
        <v>0</v>
      </c>
      <c r="CP32" s="651">
        <f>+entero!CP78</f>
        <v>0</v>
      </c>
      <c r="CQ32" s="649"/>
      <c r="CR32" s="540"/>
      <c r="CS32" s="3"/>
      <c r="CT32" s="491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87" t="s">
        <v>192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16490.254496063491</v>
      </c>
      <c r="CK33" s="490">
        <f>+entero!CK79</f>
        <v>16802.33312104745</v>
      </c>
      <c r="CL33" s="649">
        <f>+entero!CL79</f>
        <v>16746.596389579525</v>
      </c>
      <c r="CM33" s="650">
        <f>+entero!CM79</f>
        <v>16736.209756201966</v>
      </c>
      <c r="CN33" s="650">
        <f>+entero!CN79</f>
        <v>16723.969908438125</v>
      </c>
      <c r="CO33" s="650">
        <f>+entero!CO79</f>
        <v>16710.970313318587</v>
      </c>
      <c r="CP33" s="651">
        <f>+entero!CP79</f>
        <v>16697.736462379813</v>
      </c>
      <c r="CQ33" s="649">
        <f>+entero!CQ79</f>
        <v>-104.5966586676368</v>
      </c>
      <c r="CR33" s="540">
        <f>+entero!CR79</f>
        <v>-0.62251270650391932</v>
      </c>
      <c r="CS33" s="3"/>
      <c r="CT33" s="491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49"/>
      <c r="CR34" s="540"/>
      <c r="CS34" s="3"/>
      <c r="CT34" s="491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88" t="s">
        <v>187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95.250777919563561</v>
      </c>
      <c r="CL35" s="616">
        <f>+entero!CL81</f>
        <v>95.238865993320104</v>
      </c>
      <c r="CM35" s="617">
        <f>+entero!CM81</f>
        <v>95.241910219559671</v>
      </c>
      <c r="CN35" s="617">
        <f>+entero!CN81</f>
        <v>95.242049647661617</v>
      </c>
      <c r="CO35" s="617">
        <f>+entero!CO81</f>
        <v>95.247378437755899</v>
      </c>
      <c r="CP35" s="618">
        <f>+entero!CP81</f>
        <v>95.24982756105949</v>
      </c>
      <c r="CQ35" s="649"/>
      <c r="CR35" s="540"/>
      <c r="CS35" s="3"/>
      <c r="CT35" s="491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8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4" t="str">
        <f>+entero!CL3</f>
        <v xml:space="preserve">   Semana 1*</v>
      </c>
      <c r="CM3" s="835"/>
      <c r="CN3" s="835"/>
      <c r="CO3" s="835"/>
      <c r="CP3" s="836"/>
      <c r="CQ3" s="832" t="s">
        <v>34</v>
      </c>
      <c r="CR3" s="833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8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1"/>
      <c r="CD4" s="831"/>
      <c r="CE4" s="831"/>
      <c r="CF4" s="831"/>
      <c r="CG4" s="831"/>
      <c r="CH4" s="831"/>
      <c r="CI4" s="831"/>
      <c r="CJ4" s="831"/>
      <c r="CK4" s="831"/>
      <c r="CL4" s="202">
        <f>+entero!CL4</f>
        <v>42373</v>
      </c>
      <c r="CM4" s="343">
        <f>+entero!CM4</f>
        <v>42374</v>
      </c>
      <c r="CN4" s="343">
        <f>+entero!CN4</f>
        <v>42375</v>
      </c>
      <c r="CO4" s="343">
        <f>+entero!CO4</f>
        <v>42376</v>
      </c>
      <c r="CP4" s="344">
        <f>+entero!CP4</f>
        <v>42377</v>
      </c>
      <c r="CQ4" s="204" t="s">
        <v>20</v>
      </c>
      <c r="CR4" s="205" t="s">
        <v>208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02">
        <f>+entero!CQ83</f>
        <v>0</v>
      </c>
      <c r="CR6" s="542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02">
        <f>+entero!CQ84</f>
        <v>0</v>
      </c>
      <c r="CR7" s="542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594">
        <f>+entero!CL85</f>
        <v>6.9428154037001075</v>
      </c>
      <c r="CM8" s="594">
        <f>+entero!CM85</f>
        <v>6.9579799221250971</v>
      </c>
      <c r="CN8" s="594">
        <f>+entero!CN85</f>
        <v>6.9542835055313983</v>
      </c>
      <c r="CO8" s="594">
        <f>+entero!CO85</f>
        <v>6.9371200714133936</v>
      </c>
      <c r="CP8" s="594">
        <f>+entero!CP85</f>
        <v>6.9455657694494857</v>
      </c>
      <c r="CQ8" s="702">
        <f>+entero!CQ85</f>
        <v>8.4456980360920753E-3</v>
      </c>
      <c r="CR8" s="542">
        <f>+entero!CR85</f>
        <v>0.1217464588928685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702" t="s">
        <v>3</v>
      </c>
      <c r="CR9" s="542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14">
        <f>+entero!CL87</f>
        <v>2.0982799999999999</v>
      </c>
      <c r="CM10" s="14">
        <f>+entero!CM87</f>
        <v>2.0984799999999999</v>
      </c>
      <c r="CN10" s="14">
        <f>+entero!CN87</f>
        <v>2.0986799999999999</v>
      </c>
      <c r="CO10" s="14">
        <f>+entero!CO87</f>
        <v>2.0988799999999999</v>
      </c>
      <c r="CP10" s="14">
        <f>+entero!CP87</f>
        <v>2.0962800000000001</v>
      </c>
      <c r="CQ10" s="702">
        <f>+entero!CQ87</f>
        <v>-2.5999999999997137E-3</v>
      </c>
      <c r="CR10" s="542">
        <f>+entero!CR87</f>
        <v>-0.12387559079126698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0</v>
      </c>
      <c r="CL11" s="699"/>
      <c r="CM11" s="699"/>
      <c r="CN11" s="699"/>
      <c r="CO11" s="699"/>
      <c r="CP11" s="699"/>
      <c r="CQ11" s="703"/>
      <c r="CR11" s="543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42382.504504861114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F3:BF4"/>
    <mergeCell ref="BN3:BN4"/>
    <mergeCell ref="BO3:BO4"/>
    <mergeCell ref="BP3:BP4"/>
    <mergeCell ref="BQ3:BQ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abSelected="1" topLeftCell="B1" workbookViewId="0">
      <pane xSplit="39" ySplit="9" topLeftCell="CE10" activePane="bottomRight" state="frozen"/>
      <selection activeCell="B1" sqref="B1"/>
      <selection pane="topRight" activeCell="AO1" sqref="AO1"/>
      <selection pane="bottomLeft" activeCell="B10" sqref="B10"/>
      <selection pane="bottomRight" activeCell="CL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04" t="s">
        <v>198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6">
        <f>+entero!CL90</f>
        <v>2105.7754171734696</v>
      </c>
      <c r="CM10" s="707">
        <f>+entero!CM90</f>
        <v>2105.7754171734696</v>
      </c>
      <c r="CN10" s="707">
        <f>+entero!CN90</f>
        <v>2105.7754171734696</v>
      </c>
      <c r="CO10" s="707">
        <f>+entero!CO90</f>
        <v>2105.7754171734696</v>
      </c>
      <c r="CP10" s="708">
        <f>+entero!CP90</f>
        <v>2088.8024371895044</v>
      </c>
      <c r="CQ10" s="709">
        <f>+entero!CQ90</f>
        <v>-16.97297998396516</v>
      </c>
      <c r="CR10" s="543">
        <f>+entero!CR90</f>
        <v>-0.80602042580341093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N34" sqref="C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5" t="str">
        <f>+entero!CL3</f>
        <v xml:space="preserve">   Semana 1*</v>
      </c>
      <c r="CM3" s="825"/>
      <c r="CN3" s="825"/>
      <c r="CO3" s="825"/>
      <c r="CP3" s="826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429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4"/>
      <c r="C10" s="17" t="s">
        <v>3</v>
      </c>
      <c r="D10" s="710" t="s">
        <v>199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38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13" t="s">
        <v>30</v>
      </c>
      <c r="E20" s="588">
        <f>+entero!E106</f>
        <v>8.75</v>
      </c>
      <c r="F20" s="588">
        <f>+entero!F106</f>
        <v>8.75</v>
      </c>
      <c r="G20" s="588">
        <f>+entero!G106</f>
        <v>8.75</v>
      </c>
      <c r="H20" s="588">
        <f>+entero!H106</f>
        <v>8.75</v>
      </c>
      <c r="I20" s="588">
        <f>+entero!I106</f>
        <v>8.75</v>
      </c>
      <c r="J20" s="588">
        <f>+entero!J106</f>
        <v>8.75</v>
      </c>
      <c r="K20" s="588">
        <f>+entero!K106</f>
        <v>8.75</v>
      </c>
      <c r="L20" s="588">
        <f>+entero!L106</f>
        <v>8.75</v>
      </c>
      <c r="M20" s="588">
        <f>+entero!M106</f>
        <v>8.75</v>
      </c>
      <c r="N20" s="588">
        <f>+entero!N106</f>
        <v>8.75</v>
      </c>
      <c r="O20" s="588">
        <f>+entero!O106</f>
        <v>8.75</v>
      </c>
      <c r="P20" s="588">
        <f>+entero!P106</f>
        <v>8.75</v>
      </c>
      <c r="Q20" s="588">
        <f>+entero!Q106</f>
        <v>8.75</v>
      </c>
      <c r="R20" s="588">
        <f>+entero!R106</f>
        <v>8.75</v>
      </c>
      <c r="S20" s="588">
        <f>+entero!S106</f>
        <v>8.75</v>
      </c>
      <c r="T20" s="588">
        <f>+entero!T106</f>
        <v>8.75</v>
      </c>
      <c r="U20" s="588">
        <f>+entero!U106</f>
        <v>8.75</v>
      </c>
      <c r="V20" s="588">
        <f>+entero!V106</f>
        <v>8.75</v>
      </c>
      <c r="W20" s="588">
        <f>+entero!W106</f>
        <v>8.75</v>
      </c>
      <c r="X20" s="588">
        <f>+entero!X106</f>
        <v>8.75</v>
      </c>
      <c r="Y20" s="588">
        <f>+entero!Y106</f>
        <v>8.75</v>
      </c>
      <c r="Z20" s="588">
        <f>+entero!Z106</f>
        <v>8.75</v>
      </c>
      <c r="AA20" s="588">
        <f>+entero!AA106</f>
        <v>8.75</v>
      </c>
      <c r="AB20" s="588">
        <f>+entero!AB106</f>
        <v>8.75</v>
      </c>
      <c r="AC20" s="588">
        <f>+entero!AC106</f>
        <v>8.75</v>
      </c>
      <c r="AD20" s="588">
        <f>+entero!AD106</f>
        <v>8.75</v>
      </c>
      <c r="AE20" s="588">
        <f>+entero!AE106</f>
        <v>8.75</v>
      </c>
      <c r="AF20" s="588">
        <f>+entero!AF106</f>
        <v>8.75</v>
      </c>
      <c r="AG20" s="588">
        <f>+entero!AG106</f>
        <v>8.75</v>
      </c>
      <c r="AH20" s="588">
        <f>+entero!AH106</f>
        <v>8.75</v>
      </c>
      <c r="AI20" s="588">
        <f>+entero!AI106</f>
        <v>8.75</v>
      </c>
      <c r="AJ20" s="588">
        <f>+entero!AJ106</f>
        <v>8.75</v>
      </c>
      <c r="AK20" s="588">
        <f>+entero!AK106</f>
        <v>8.75</v>
      </c>
      <c r="AL20" s="588">
        <f>+entero!AL106</f>
        <v>8.75</v>
      </c>
      <c r="AM20" s="588">
        <f>+entero!AM106</f>
        <v>8.75</v>
      </c>
      <c r="AN20" s="588">
        <f>+entero!AN106</f>
        <v>8.75</v>
      </c>
      <c r="AO20" s="588">
        <f>+entero!AO106</f>
        <v>8.75</v>
      </c>
      <c r="AP20" s="588">
        <f>+entero!AP106</f>
        <v>8.75</v>
      </c>
      <c r="AQ20" s="588">
        <f>+entero!AQ106</f>
        <v>8.75</v>
      </c>
      <c r="AR20" s="588">
        <f>+entero!AR106</f>
        <v>8.75</v>
      </c>
      <c r="AS20" s="588">
        <f>+entero!AS106</f>
        <v>8.75</v>
      </c>
      <c r="AT20" s="588">
        <f>+entero!AT106</f>
        <v>4</v>
      </c>
      <c r="AU20" s="588">
        <f>+entero!AU106</f>
        <v>4</v>
      </c>
      <c r="AV20" s="588">
        <f>+entero!AV106</f>
        <v>4</v>
      </c>
      <c r="AW20" s="588">
        <f>+entero!AW106</f>
        <v>4</v>
      </c>
      <c r="AX20" s="588">
        <f>+entero!AX106</f>
        <v>4</v>
      </c>
      <c r="AY20" s="588">
        <f>+entero!AY106</f>
        <v>4</v>
      </c>
      <c r="AZ20" s="588">
        <f>+entero!AZ106</f>
        <v>4</v>
      </c>
      <c r="BA20" s="588">
        <f>+entero!BA106</f>
        <v>4</v>
      </c>
      <c r="BB20" s="588">
        <f>+entero!BB106</f>
        <v>4</v>
      </c>
      <c r="BC20" s="588">
        <f>+entero!BC106</f>
        <v>4</v>
      </c>
      <c r="BD20" s="588">
        <f>+entero!BD106</f>
        <v>4</v>
      </c>
      <c r="BE20" s="588">
        <f>+entero!BE106</f>
        <v>4</v>
      </c>
      <c r="BF20" s="588">
        <f>+entero!BF106</f>
        <v>4</v>
      </c>
      <c r="BG20" s="588">
        <f>+entero!BG106</f>
        <v>4</v>
      </c>
      <c r="BH20" s="588">
        <f>+entero!BH106</f>
        <v>4</v>
      </c>
      <c r="BI20" s="588">
        <f>+entero!BI106</f>
        <v>4</v>
      </c>
      <c r="BJ20" s="588">
        <f>+entero!BJ106</f>
        <v>4</v>
      </c>
      <c r="BK20" s="588">
        <f>+entero!BK106</f>
        <v>4</v>
      </c>
      <c r="BL20" s="588">
        <f>+entero!BL106</f>
        <v>4</v>
      </c>
      <c r="BM20" s="588">
        <f>+entero!BM106</f>
        <v>4</v>
      </c>
      <c r="BN20" s="588">
        <f>+entero!BN106</f>
        <v>4</v>
      </c>
      <c r="BO20" s="588">
        <f>+entero!BO106</f>
        <v>4</v>
      </c>
      <c r="BP20" s="588">
        <f>+entero!BP106</f>
        <v>4</v>
      </c>
      <c r="BQ20" s="588">
        <f>+entero!BQ106</f>
        <v>4</v>
      </c>
      <c r="BR20" s="588">
        <f>+entero!BR106</f>
        <v>4</v>
      </c>
      <c r="BS20" s="588">
        <f>+entero!BS106</f>
        <v>4</v>
      </c>
      <c r="BT20" s="588">
        <f>+entero!BT106</f>
        <v>4</v>
      </c>
      <c r="BU20" s="588">
        <f>+entero!BU106</f>
        <v>4</v>
      </c>
      <c r="BV20" s="588">
        <f>+entero!BV106</f>
        <v>4</v>
      </c>
      <c r="BW20" s="588">
        <f>+entero!BW106</f>
        <v>4</v>
      </c>
      <c r="BX20" s="588">
        <f>+entero!BX106</f>
        <v>4</v>
      </c>
      <c r="BY20" s="588">
        <f>+entero!BY106</f>
        <v>4</v>
      </c>
      <c r="BZ20" s="588">
        <f>+entero!BZ106</f>
        <v>4</v>
      </c>
      <c r="CA20" s="588">
        <f>+entero!CA106</f>
        <v>4</v>
      </c>
      <c r="CB20" s="588">
        <f>+entero!CB106</f>
        <v>4</v>
      </c>
      <c r="CC20" s="588">
        <f>+entero!CC106</f>
        <v>4</v>
      </c>
      <c r="CD20" s="588">
        <f>+entero!CD106</f>
        <v>4</v>
      </c>
      <c r="CE20" s="588">
        <f>+entero!CE106</f>
        <v>4</v>
      </c>
      <c r="CF20" s="588">
        <f>+entero!CF106</f>
        <v>4</v>
      </c>
      <c r="CG20" s="588">
        <f>+entero!CG106</f>
        <v>4</v>
      </c>
      <c r="CH20" s="588">
        <f>+entero!CH106</f>
        <v>4</v>
      </c>
      <c r="CI20" s="588">
        <f>+entero!CI106</f>
        <v>4</v>
      </c>
      <c r="CJ20" s="588">
        <f>+entero!CJ106</f>
        <v>4</v>
      </c>
      <c r="CK20" s="588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39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B3:CB4"/>
    <mergeCell ref="CC3:CC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2016-01-13T16:13:37Z</cp:lastPrinted>
  <dcterms:created xsi:type="dcterms:W3CDTF">2002-08-27T17:11:09Z</dcterms:created>
  <dcterms:modified xsi:type="dcterms:W3CDTF">2016-01-13T16:14:28Z</dcterms:modified>
</cp:coreProperties>
</file>