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832" windowWidth="17496" windowHeight="38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28" i="1" l="1"/>
  <c r="DM27" i="1"/>
  <c r="DM26" i="1"/>
  <c r="DM25" i="1"/>
  <c r="DM24" i="1"/>
  <c r="DL28" i="1"/>
  <c r="DL27" i="1"/>
  <c r="DL26" i="1"/>
  <c r="DL25" i="1"/>
  <c r="DL24" i="1"/>
  <c r="DK28" i="1"/>
  <c r="DK27" i="1"/>
  <c r="DK26" i="1"/>
  <c r="DK25" i="1"/>
  <c r="DK24" i="1"/>
  <c r="DJ28" i="1"/>
  <c r="DJ27" i="1"/>
  <c r="DJ26" i="1"/>
  <c r="DJ25" i="1"/>
  <c r="DJ24" i="1"/>
  <c r="DI28" i="1"/>
  <c r="DI27" i="1"/>
  <c r="DI26" i="1"/>
  <c r="DI25" i="1"/>
  <c r="DI24" i="1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O91" i="1" l="1"/>
  <c r="DO88" i="1"/>
  <c r="DO86" i="1"/>
  <c r="DO85" i="1"/>
  <c r="DO84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68" i="1"/>
  <c r="DO65" i="1"/>
  <c r="DO62" i="1"/>
  <c r="DO59" i="1"/>
  <c r="DO56" i="1"/>
  <c r="DO54" i="1"/>
  <c r="DO52" i="1"/>
  <c r="DO51" i="1"/>
  <c r="DO49" i="1"/>
  <c r="DO48" i="1"/>
  <c r="DO45" i="1"/>
  <c r="DO44" i="1"/>
  <c r="DO43" i="1"/>
  <c r="DO42" i="1"/>
  <c r="DO41" i="1"/>
  <c r="DO40" i="1"/>
  <c r="DO39" i="1"/>
  <c r="DO38" i="1"/>
  <c r="DO36" i="1"/>
  <c r="DO35" i="1"/>
  <c r="DO34" i="1"/>
  <c r="DO32" i="1"/>
  <c r="DO31" i="1"/>
  <c r="DO30" i="1"/>
  <c r="DO16" i="1"/>
  <c r="DO15" i="1"/>
  <c r="DO14" i="1"/>
  <c r="DO13" i="1"/>
  <c r="DO12" i="1"/>
  <c r="DO11" i="1"/>
  <c r="DO10" i="1"/>
  <c r="DO9" i="1"/>
  <c r="DO8" i="1"/>
  <c r="DO7" i="1"/>
  <c r="DN91" i="1"/>
  <c r="DN88" i="1"/>
  <c r="DN86" i="1"/>
  <c r="DN85" i="1"/>
  <c r="DN84" i="1"/>
  <c r="DN82" i="1"/>
  <c r="DN81" i="1"/>
  <c r="DN80" i="1"/>
  <c r="DN79" i="1"/>
  <c r="DN78" i="1"/>
  <c r="DN77" i="1"/>
  <c r="DN76" i="1"/>
  <c r="DN75" i="1"/>
  <c r="DN74" i="1"/>
  <c r="DN73" i="1"/>
  <c r="DN72" i="1"/>
  <c r="DN71" i="1"/>
  <c r="DN69" i="1"/>
  <c r="DN68" i="1"/>
  <c r="DN66" i="1"/>
  <c r="DN65" i="1"/>
  <c r="DN63" i="1"/>
  <c r="DN62" i="1"/>
  <c r="DN60" i="1"/>
  <c r="DN59" i="1"/>
  <c r="DN57" i="1"/>
  <c r="DN56" i="1"/>
  <c r="DN55" i="1"/>
  <c r="DN54" i="1"/>
  <c r="DN52" i="1"/>
  <c r="DN51" i="1"/>
  <c r="DN49" i="1"/>
  <c r="DN48" i="1"/>
  <c r="DN45" i="1"/>
  <c r="DN44" i="1"/>
  <c r="DN43" i="1"/>
  <c r="DN42" i="1"/>
  <c r="DN41" i="1"/>
  <c r="DN40" i="1"/>
  <c r="DN39" i="1"/>
  <c r="DN38" i="1"/>
  <c r="DN36" i="1"/>
  <c r="DN35" i="1"/>
  <c r="DN34" i="1"/>
  <c r="DN32" i="1"/>
  <c r="DN31" i="1"/>
  <c r="DN30" i="1"/>
  <c r="DN28" i="1"/>
  <c r="DN16" i="1"/>
  <c r="DN15" i="1"/>
  <c r="DN14" i="1"/>
  <c r="DN13" i="1"/>
  <c r="DN12" i="1"/>
  <c r="DN11" i="1"/>
  <c r="DN10" i="1"/>
  <c r="DN9" i="1"/>
  <c r="DN8" i="1"/>
  <c r="DN7" i="1"/>
  <c r="DH84" i="1"/>
  <c r="DH50" i="1"/>
  <c r="DH47" i="1"/>
  <c r="DH46" i="1" s="1"/>
  <c r="DH28" i="1"/>
  <c r="DH10" i="8" s="1"/>
  <c r="DH27" i="1"/>
  <c r="DH9" i="8" s="1"/>
  <c r="DH26" i="1"/>
  <c r="DH8" i="8" s="1"/>
  <c r="DH25" i="1"/>
  <c r="DH7" i="8" s="1"/>
  <c r="DH24" i="1"/>
  <c r="DH6" i="8" s="1"/>
  <c r="DH17" i="1"/>
  <c r="DO27" i="1" l="1"/>
  <c r="DN24" i="1"/>
  <c r="DN26" i="1"/>
  <c r="DO25" i="1"/>
  <c r="DN27" i="1"/>
  <c r="DO26" i="1"/>
  <c r="DN25" i="1"/>
  <c r="DO24" i="1"/>
  <c r="DO28" i="1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84" i="1"/>
  <c r="DG6" i="5" s="1"/>
  <c r="DG50" i="1"/>
  <c r="DG47" i="1"/>
  <c r="DG46" i="1" s="1"/>
  <c r="DG13" i="7" s="1"/>
  <c r="DG28" i="1"/>
  <c r="DG10" i="8" s="1"/>
  <c r="DG27" i="1"/>
  <c r="DG9" i="8" s="1"/>
  <c r="DG26" i="1"/>
  <c r="DG8" i="8" s="1"/>
  <c r="DG25" i="1"/>
  <c r="DG7" i="8" s="1"/>
  <c r="DG24" i="1"/>
  <c r="DG6" i="8" s="1"/>
  <c r="DG17" i="1"/>
  <c r="DG17" i="9" s="1"/>
  <c r="DG14" i="7" l="1"/>
  <c r="DG17" i="7"/>
  <c r="DI3" i="4"/>
  <c r="DI20" i="4"/>
  <c r="DI19" i="4"/>
  <c r="DI4" i="4"/>
  <c r="DF20" i="4"/>
  <c r="DF19" i="4"/>
  <c r="DF3" i="4"/>
  <c r="DI3" i="10"/>
  <c r="DI10" i="10"/>
  <c r="DI9" i="10"/>
  <c r="DI8" i="10"/>
  <c r="DI7" i="10"/>
  <c r="DI6" i="10"/>
  <c r="DI4" i="10"/>
  <c r="DF10" i="10"/>
  <c r="DF4" i="10"/>
  <c r="DF3" i="10"/>
  <c r="DI3" i="5"/>
  <c r="DI10" i="5"/>
  <c r="DI8" i="5"/>
  <c r="DI7" i="5"/>
  <c r="DI4" i="5"/>
  <c r="DF10" i="5"/>
  <c r="DF8" i="5"/>
  <c r="DF7" i="5"/>
  <c r="DF3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6" i="7"/>
  <c r="DF15" i="7"/>
  <c r="DF12" i="7"/>
  <c r="DF11" i="7"/>
  <c r="DF10" i="7"/>
  <c r="DF9" i="7"/>
  <c r="DF8" i="7"/>
  <c r="DF7" i="7"/>
  <c r="DF6" i="7"/>
  <c r="DF3" i="7"/>
  <c r="DI3" i="8"/>
  <c r="DI18" i="8"/>
  <c r="DI17" i="8"/>
  <c r="DI16" i="8"/>
  <c r="DI14" i="8"/>
  <c r="DI13" i="8"/>
  <c r="DI12" i="8"/>
  <c r="DI4" i="8"/>
  <c r="DF18" i="8"/>
  <c r="DF17" i="8"/>
  <c r="DF16" i="8"/>
  <c r="DF14" i="8"/>
  <c r="DF13" i="8"/>
  <c r="DF12" i="8"/>
  <c r="DF3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J4" i="1" l="1"/>
  <c r="DI84" i="1"/>
  <c r="DI6" i="5" s="1"/>
  <c r="DI50" i="1"/>
  <c r="DI17" i="7" s="1"/>
  <c r="DI47" i="1"/>
  <c r="DI10" i="8"/>
  <c r="DI9" i="8"/>
  <c r="DI8" i="8"/>
  <c r="DI7" i="8"/>
  <c r="DI6" i="8"/>
  <c r="DI17" i="1"/>
  <c r="DI17" i="9" s="1"/>
  <c r="DF84" i="1"/>
  <c r="DF6" i="5" s="1"/>
  <c r="DF50" i="1"/>
  <c r="DF17" i="7" s="1"/>
  <c r="DF47" i="1"/>
  <c r="DF28" i="1"/>
  <c r="DF10" i="8" s="1"/>
  <c r="DF27" i="1"/>
  <c r="DF9" i="8" s="1"/>
  <c r="DF26" i="1"/>
  <c r="DF8" i="8" s="1"/>
  <c r="DF25" i="1"/>
  <c r="DF7" i="8" s="1"/>
  <c r="DF24" i="1"/>
  <c r="DF6" i="8" s="1"/>
  <c r="DF17" i="1"/>
  <c r="DF17" i="9" s="1"/>
  <c r="DF46" i="1" l="1"/>
  <c r="DF13" i="7" s="1"/>
  <c r="DF14" i="7"/>
  <c r="DI46" i="1"/>
  <c r="DI13" i="7" s="1"/>
  <c r="DI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84" i="1"/>
  <c r="DE6" i="5" s="1"/>
  <c r="DE50" i="1"/>
  <c r="DE47" i="1"/>
  <c r="DE14" i="7" s="1"/>
  <c r="DE28" i="1"/>
  <c r="DE10" i="8" s="1"/>
  <c r="DE27" i="1"/>
  <c r="DE9" i="8" s="1"/>
  <c r="DE26" i="1"/>
  <c r="DE8" i="8" s="1"/>
  <c r="DE25" i="1"/>
  <c r="DE7" i="8" s="1"/>
  <c r="DE24" i="1"/>
  <c r="DE6" i="8" s="1"/>
  <c r="DE17" i="1"/>
  <c r="DE17" i="9" s="1"/>
  <c r="DE46" i="1" l="1"/>
  <c r="DE13" i="7" s="1"/>
  <c r="DE17" i="7"/>
  <c r="DD28" i="1"/>
  <c r="DD27" i="1"/>
  <c r="DD26" i="1"/>
  <c r="DD25" i="1"/>
  <c r="DD24" i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84" i="1"/>
  <c r="DD6" i="5" s="1"/>
  <c r="DD50" i="1"/>
  <c r="DD17" i="7" s="1"/>
  <c r="DD47" i="1"/>
  <c r="DD14" i="7" s="1"/>
  <c r="DD10" i="8"/>
  <c r="DD9" i="8"/>
  <c r="DD8" i="8"/>
  <c r="DD7" i="8"/>
  <c r="DD6" i="8"/>
  <c r="DD17" i="1"/>
  <c r="DD17" i="9" s="1"/>
  <c r="DD46" i="1" l="1"/>
  <c r="DD13" i="7" s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84" i="1" l="1"/>
  <c r="DJ6" i="5" s="1"/>
  <c r="DJ50" i="1"/>
  <c r="DJ17" i="7" s="1"/>
  <c r="DJ47" i="1"/>
  <c r="DJ14" i="7" s="1"/>
  <c r="DJ10" i="8"/>
  <c r="DJ9" i="8"/>
  <c r="DJ8" i="8"/>
  <c r="DJ7" i="8"/>
  <c r="DJ6" i="8"/>
  <c r="DJ17" i="1"/>
  <c r="DJ17" i="9" s="1"/>
  <c r="DK4" i="1"/>
  <c r="DJ46" i="1" l="1"/>
  <c r="DJ13" i="7" s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84" i="1"/>
  <c r="DC6" i="5" s="1"/>
  <c r="DC50" i="1"/>
  <c r="DC17" i="7" s="1"/>
  <c r="DC47" i="1"/>
  <c r="DC14" i="7" s="1"/>
  <c r="DC28" i="1"/>
  <c r="DC10" i="8" s="1"/>
  <c r="DC27" i="1"/>
  <c r="DC9" i="8" s="1"/>
  <c r="DC26" i="1"/>
  <c r="DC8" i="8" s="1"/>
  <c r="DC25" i="1"/>
  <c r="DC7" i="8" s="1"/>
  <c r="DC24" i="1"/>
  <c r="DC6" i="8" s="1"/>
  <c r="DC17" i="1"/>
  <c r="DC17" i="9" s="1"/>
  <c r="DC46" i="1" l="1"/>
  <c r="DC13" i="7" s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84" i="1"/>
  <c r="DL6" i="5" s="1"/>
  <c r="DL50" i="1"/>
  <c r="DL17" i="7" s="1"/>
  <c r="DL47" i="1"/>
  <c r="DL14" i="7" s="1"/>
  <c r="DL10" i="8"/>
  <c r="DL9" i="8"/>
  <c r="DL8" i="8"/>
  <c r="DL6" i="8"/>
  <c r="DL17" i="1"/>
  <c r="DL17" i="9" s="1"/>
  <c r="DL46" i="1" l="1"/>
  <c r="DL13" i="7" s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84" i="1" l="1"/>
  <c r="DB6" i="5" s="1"/>
  <c r="DB50" i="1"/>
  <c r="DB17" i="7" s="1"/>
  <c r="DB47" i="1"/>
  <c r="DB14" i="7" s="1"/>
  <c r="DB28" i="1"/>
  <c r="DB10" i="8" s="1"/>
  <c r="DB27" i="1"/>
  <c r="DB9" i="8" s="1"/>
  <c r="DB26" i="1"/>
  <c r="DB8" i="8" s="1"/>
  <c r="DB25" i="1"/>
  <c r="DB7" i="8" s="1"/>
  <c r="DB24" i="1"/>
  <c r="DB6" i="8" s="1"/>
  <c r="DB17" i="1"/>
  <c r="DB17" i="9" s="1"/>
  <c r="DB46" i="1" l="1"/>
  <c r="DB13" i="7" s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M84" i="1" l="1"/>
  <c r="DK84" i="1"/>
  <c r="DK6" i="5" s="1"/>
  <c r="DM50" i="1"/>
  <c r="DK50" i="1"/>
  <c r="DK17" i="7" s="1"/>
  <c r="DM47" i="1"/>
  <c r="DK47" i="1"/>
  <c r="DM17" i="1"/>
  <c r="DK17" i="1"/>
  <c r="DK17" i="9" s="1"/>
  <c r="DO50" i="1" l="1"/>
  <c r="DN50" i="1"/>
  <c r="DN47" i="1"/>
  <c r="DO47" i="1"/>
  <c r="DO17" i="1"/>
  <c r="DN17" i="1"/>
  <c r="DM17" i="7"/>
  <c r="DM17" i="9"/>
  <c r="DM6" i="5"/>
  <c r="DK46" i="1"/>
  <c r="DK13" i="7" s="1"/>
  <c r="DK14" i="7"/>
  <c r="DM46" i="1"/>
  <c r="DM14" i="7"/>
  <c r="DO46" i="1" l="1"/>
  <c r="DN46" i="1"/>
  <c r="DM13" i="7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84" i="1"/>
  <c r="DA6" i="5" s="1"/>
  <c r="DA50" i="1"/>
  <c r="DA17" i="7" s="1"/>
  <c r="DA47" i="1"/>
  <c r="DA14" i="7" s="1"/>
  <c r="DA28" i="1"/>
  <c r="DA10" i="8" s="1"/>
  <c r="DA27" i="1"/>
  <c r="DA9" i="8" s="1"/>
  <c r="DA26" i="1"/>
  <c r="DA8" i="8" s="1"/>
  <c r="DA25" i="1"/>
  <c r="DA7" i="8" s="1"/>
  <c r="DA24" i="1"/>
  <c r="DA6" i="8" s="1"/>
  <c r="DA17" i="1"/>
  <c r="DA17" i="9" s="1"/>
  <c r="DA46" i="1" l="1"/>
  <c r="DA13" i="7" s="1"/>
  <c r="CZ47" i="1"/>
  <c r="CZ50" i="1"/>
  <c r="CZ46" i="1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28" i="1"/>
  <c r="CZ10" i="8" s="1"/>
  <c r="CZ27" i="1"/>
  <c r="CZ9" i="8" s="1"/>
  <c r="CZ26" i="1"/>
  <c r="CZ25" i="1"/>
  <c r="CZ7" i="8" s="1"/>
  <c r="CZ24" i="1"/>
  <c r="CZ6" i="8" s="1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Z84" i="1"/>
  <c r="CY84" i="1"/>
  <c r="CY6" i="5" s="1"/>
  <c r="CX84" i="1"/>
  <c r="CX6" i="5" s="1"/>
  <c r="CW84" i="1"/>
  <c r="CW6" i="5" s="1"/>
  <c r="CV84" i="1"/>
  <c r="CV6" i="5" s="1"/>
  <c r="CU84" i="1"/>
  <c r="CU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Z17" i="7"/>
  <c r="CY50" i="1"/>
  <c r="CY17" i="7" s="1"/>
  <c r="CX50" i="1"/>
  <c r="CX17" i="7" s="1"/>
  <c r="CW50" i="1"/>
  <c r="CW17" i="7" s="1"/>
  <c r="CV50" i="1"/>
  <c r="CV17" i="7" s="1"/>
  <c r="CU50" i="1"/>
  <c r="CU17" i="7" s="1"/>
  <c r="CS50" i="1"/>
  <c r="CS17" i="7" s="1"/>
  <c r="CR50" i="1"/>
  <c r="CR17" i="7" s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W17" i="7" s="1"/>
  <c r="BV50" i="1"/>
  <c r="BV17" i="7" s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F17" i="7" s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Y17" i="7" s="1"/>
  <c r="AS50" i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Y47" i="1"/>
  <c r="CY14" i="7" s="1"/>
  <c r="CX47" i="1"/>
  <c r="CX14" i="7" s="1"/>
  <c r="CW47" i="1"/>
  <c r="CW14" i="7" s="1"/>
  <c r="CV47" i="1"/>
  <c r="CV14" i="7" s="1"/>
  <c r="CU47" i="1"/>
  <c r="CU14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N14" i="7" s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K47" i="1"/>
  <c r="AK14" i="7" s="1"/>
  <c r="AJ47" i="1"/>
  <c r="AJ14" i="7" s="1"/>
  <c r="AI47" i="1"/>
  <c r="AI14" i="7" s="1"/>
  <c r="AH47" i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Z47" i="1"/>
  <c r="Z14" i="7" s="1"/>
  <c r="Y47" i="1"/>
  <c r="Y14" i="7" s="1"/>
  <c r="X47" i="1"/>
  <c r="X14" i="7" s="1"/>
  <c r="W47" i="1"/>
  <c r="W14" i="7" s="1"/>
  <c r="V47" i="1"/>
  <c r="U47" i="1"/>
  <c r="U14" i="7" s="1"/>
  <c r="T47" i="1"/>
  <c r="T14" i="7" s="1"/>
  <c r="S47" i="1"/>
  <c r="S14" i="7" s="1"/>
  <c r="R47" i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CZ13" i="7"/>
  <c r="AQ46" i="1"/>
  <c r="AQ13" i="7" s="1"/>
  <c r="N42" i="1"/>
  <c r="N10" i="7" s="1"/>
  <c r="N39" i="1"/>
  <c r="N7" i="7" s="1"/>
  <c r="CK36" i="1"/>
  <c r="CK18" i="8" s="1"/>
  <c r="CK35" i="1"/>
  <c r="CK17" i="8" s="1"/>
  <c r="CK34" i="1"/>
  <c r="CK16" i="8" s="1"/>
  <c r="CY28" i="1"/>
  <c r="CY10" i="8" s="1"/>
  <c r="CX28" i="1"/>
  <c r="CX10" i="8" s="1"/>
  <c r="CW28" i="1"/>
  <c r="CW10" i="8" s="1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Y27" i="1"/>
  <c r="CY9" i="8" s="1"/>
  <c r="CX27" i="1"/>
  <c r="CX9" i="8" s="1"/>
  <c r="CW27" i="1"/>
  <c r="CW9" i="8" s="1"/>
  <c r="CV27" i="1"/>
  <c r="CV9" i="8" s="1"/>
  <c r="CU27" i="1"/>
  <c r="CU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Y26" i="1"/>
  <c r="CY8" i="8" s="1"/>
  <c r="CX26" i="1"/>
  <c r="CX8" i="8" s="1"/>
  <c r="CW26" i="1"/>
  <c r="CW8" i="8" s="1"/>
  <c r="CV26" i="1"/>
  <c r="CV8" i="8" s="1"/>
  <c r="CU26" i="1"/>
  <c r="CU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Y25" i="1"/>
  <c r="CY7" i="8" s="1"/>
  <c r="CX25" i="1"/>
  <c r="CX7" i="8" s="1"/>
  <c r="CW25" i="1"/>
  <c r="CW7" i="8" s="1"/>
  <c r="CV25" i="1"/>
  <c r="CV7" i="8" s="1"/>
  <c r="CU25" i="1"/>
  <c r="CU7" i="8" s="1"/>
  <c r="CS25" i="1"/>
  <c r="CS7" i="8" s="1"/>
  <c r="CR25" i="1"/>
  <c r="CR7" i="8" s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Y24" i="1"/>
  <c r="CY6" i="8" s="1"/>
  <c r="CX24" i="1"/>
  <c r="CX6" i="8" s="1"/>
  <c r="CW24" i="1"/>
  <c r="CW6" i="8" s="1"/>
  <c r="CV24" i="1"/>
  <c r="CV6" i="8" s="1"/>
  <c r="CU24" i="1"/>
  <c r="CU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CZ17" i="1"/>
  <c r="CZ17" i="9" s="1"/>
  <c r="CY17" i="1"/>
  <c r="CY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X13" i="9"/>
  <c r="CW13" i="9"/>
  <c r="CM46" i="1" l="1"/>
  <c r="CM13" i="7" s="1"/>
  <c r="AW46" i="1"/>
  <c r="AW13" i="7" s="1"/>
  <c r="AX46" i="1"/>
  <c r="AX13" i="7" s="1"/>
  <c r="CR46" i="1"/>
  <c r="CR13" i="7" s="1"/>
  <c r="O46" i="1"/>
  <c r="O13" i="7" s="1"/>
  <c r="BG46" i="1"/>
  <c r="BG13" i="7" s="1"/>
  <c r="CL46" i="1"/>
  <c r="CL13" i="7" s="1"/>
  <c r="BV46" i="1"/>
  <c r="BV13" i="7" s="1"/>
  <c r="U46" i="1"/>
  <c r="U13" i="7" s="1"/>
  <c r="CH46" i="1"/>
  <c r="CH13" i="7" s="1"/>
  <c r="CW46" i="1"/>
  <c r="CW13" i="7" s="1"/>
  <c r="BY46" i="1"/>
  <c r="BY13" i="7" s="1"/>
  <c r="AT46" i="1"/>
  <c r="AT13" i="7" s="1"/>
  <c r="BQ46" i="1"/>
  <c r="BQ13" i="7" s="1"/>
  <c r="K46" i="1"/>
  <c r="K13" i="7" s="1"/>
  <c r="BF46" i="1"/>
  <c r="BF13" i="7" s="1"/>
  <c r="BR46" i="1"/>
  <c r="BR13" i="7" s="1"/>
  <c r="CD46" i="1"/>
  <c r="CD13" i="7" s="1"/>
  <c r="BN46" i="1"/>
  <c r="BN13" i="7" s="1"/>
  <c r="BW46" i="1"/>
  <c r="BW13" i="7" s="1"/>
  <c r="G46" i="1"/>
  <c r="G13" i="7" s="1"/>
  <c r="BB46" i="1"/>
  <c r="BB13" i="7" s="1"/>
  <c r="H46" i="1"/>
  <c r="H13" i="7" s="1"/>
  <c r="BA46" i="1"/>
  <c r="BA13" i="7" s="1"/>
  <c r="BI46" i="1"/>
  <c r="BI13" i="7" s="1"/>
  <c r="CC46" i="1"/>
  <c r="CC13" i="7" s="1"/>
  <c r="CV46" i="1"/>
  <c r="CV13" i="7" s="1"/>
  <c r="BM46" i="1"/>
  <c r="BM13" i="7" s="1"/>
  <c r="CG46" i="1"/>
  <c r="CG13" i="7" s="1"/>
  <c r="CQ46" i="1"/>
  <c r="CQ13" i="7" s="1"/>
  <c r="T46" i="1"/>
  <c r="T13" i="7" s="1"/>
  <c r="AR46" i="1"/>
  <c r="AR13" i="7" s="1"/>
  <c r="AB46" i="1"/>
  <c r="AB13" i="7" s="1"/>
  <c r="X46" i="1"/>
  <c r="X13" i="7" s="1"/>
  <c r="AV46" i="1"/>
  <c r="AV13" i="7" s="1"/>
  <c r="BK46" i="1"/>
  <c r="BK13" i="7" s="1"/>
  <c r="CA46" i="1"/>
  <c r="CA13" i="7" s="1"/>
  <c r="CS46" i="1"/>
  <c r="CS13" i="7" s="1"/>
  <c r="DN14" i="7"/>
  <c r="DN17" i="9"/>
  <c r="DO17" i="9"/>
  <c r="AF46" i="1"/>
  <c r="AF13" i="7" s="1"/>
  <c r="BC46" i="1"/>
  <c r="BC13" i="7" s="1"/>
  <c r="BS46" i="1"/>
  <c r="BS13" i="7" s="1"/>
  <c r="CI46" i="1"/>
  <c r="CI13" i="7" s="1"/>
  <c r="L46" i="1"/>
  <c r="L13" i="7" s="1"/>
  <c r="W46" i="1"/>
  <c r="W13" i="7" s="1"/>
  <c r="AJ46" i="1"/>
  <c r="AJ13" i="7" s="1"/>
  <c r="AU46" i="1"/>
  <c r="AU13" i="7" s="1"/>
  <c r="AY46" i="1"/>
  <c r="AY13" i="7" s="1"/>
  <c r="BE46" i="1"/>
  <c r="BE13" i="7" s="1"/>
  <c r="BJ46" i="1"/>
  <c r="BJ13" i="7" s="1"/>
  <c r="BO46" i="1"/>
  <c r="BO13" i="7" s="1"/>
  <c r="BU46" i="1"/>
  <c r="BU13" i="7" s="1"/>
  <c r="BZ46" i="1"/>
  <c r="BZ13" i="7" s="1"/>
  <c r="CE46" i="1"/>
  <c r="CE13" i="7" s="1"/>
  <c r="CK46" i="1"/>
  <c r="CK13" i="7" s="1"/>
  <c r="CX46" i="1"/>
  <c r="CX13" i="7" s="1"/>
  <c r="E46" i="1"/>
  <c r="E13" i="7" s="1"/>
  <c r="Y46" i="1"/>
  <c r="Y13" i="7" s="1"/>
  <c r="AG46" i="1"/>
  <c r="AG13" i="7" s="1"/>
  <c r="AZ46" i="1"/>
  <c r="AZ13" i="7" s="1"/>
  <c r="BD46" i="1"/>
  <c r="BD13" i="7" s="1"/>
  <c r="BH46" i="1"/>
  <c r="BH13" i="7" s="1"/>
  <c r="BL46" i="1"/>
  <c r="BL13" i="7" s="1"/>
  <c r="BP46" i="1"/>
  <c r="BP13" i="7" s="1"/>
  <c r="BT46" i="1"/>
  <c r="BT13" i="7" s="1"/>
  <c r="BX46" i="1"/>
  <c r="BX13" i="7" s="1"/>
  <c r="CB46" i="1"/>
  <c r="CB13" i="7" s="1"/>
  <c r="CF46" i="1"/>
  <c r="CF13" i="7" s="1"/>
  <c r="CJ46" i="1"/>
  <c r="CJ13" i="7" s="1"/>
  <c r="CP46" i="1"/>
  <c r="CP13" i="7" s="1"/>
  <c r="CU46" i="1"/>
  <c r="CU13" i="7" s="1"/>
  <c r="CY46" i="1"/>
  <c r="CY13" i="7" s="1"/>
  <c r="M46" i="1"/>
  <c r="M13" i="7" s="1"/>
  <c r="AC46" i="1"/>
  <c r="AC13" i="7" s="1"/>
  <c r="AK46" i="1"/>
  <c r="AK13" i="7" s="1"/>
  <c r="I46" i="1"/>
  <c r="I13" i="7" s="1"/>
  <c r="AO46" i="1"/>
  <c r="AO13" i="7" s="1"/>
  <c r="CX17" i="1"/>
  <c r="CX17" i="9" s="1"/>
  <c r="AA14" i="7"/>
  <c r="AA46" i="1"/>
  <c r="AA13" i="7" s="1"/>
  <c r="AS17" i="7"/>
  <c r="AS46" i="1"/>
  <c r="AS13" i="7" s="1"/>
  <c r="DN6" i="5"/>
  <c r="DO6" i="5"/>
  <c r="CZ6" i="5"/>
  <c r="N38" i="1"/>
  <c r="N6" i="7" s="1"/>
  <c r="F46" i="1"/>
  <c r="F13" i="7" s="1"/>
  <c r="J46" i="1"/>
  <c r="J13" i="7" s="1"/>
  <c r="N46" i="1"/>
  <c r="N13" i="7" s="1"/>
  <c r="AI46" i="1"/>
  <c r="AI13" i="7" s="1"/>
  <c r="S46" i="1"/>
  <c r="S13" i="7" s="1"/>
  <c r="R46" i="1"/>
  <c r="R13" i="7" s="1"/>
  <c r="R14" i="7"/>
  <c r="V14" i="7"/>
  <c r="V46" i="1"/>
  <c r="V13" i="7" s="1"/>
  <c r="AH14" i="7"/>
  <c r="AH46" i="1"/>
  <c r="AH13" i="7" s="1"/>
  <c r="AL14" i="7"/>
  <c r="AL46" i="1"/>
  <c r="AL13" i="7" s="1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M4" i="1" l="1"/>
  <c r="DL4" i="1"/>
  <c r="DK4" i="4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<sst xmlns="http://schemas.openxmlformats.org/spreadsheetml/2006/main" count="439" uniqueCount="250">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</sst>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bril\2017-04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yo\2017-05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nio\2017-06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lio\2017-07-3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0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8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1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Septiembre\2017-09-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3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Febrero\2017-02-2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rzo\2017-03-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2.1982599999999999</v>
          </cell>
        </row>
        <row r="480">
          <cell r="H480">
            <v>54027.591498366703</v>
          </cell>
        </row>
        <row r="510">
          <cell r="H510">
            <v>-28457.477798470307</v>
          </cell>
        </row>
        <row r="512">
          <cell r="H512">
            <v>-14018.335236645717</v>
          </cell>
        </row>
        <row r="608">
          <cell r="H608">
            <v>7671.5413592549994</v>
          </cell>
        </row>
        <row r="805">
          <cell r="H805">
            <v>-40315.357887400001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2.2037100000000001</v>
          </cell>
        </row>
        <row r="480">
          <cell r="H480">
            <v>56458.957319403678</v>
          </cell>
        </row>
        <row r="510">
          <cell r="H510">
            <v>-30662.131228143819</v>
          </cell>
        </row>
        <row r="512">
          <cell r="H512">
            <v>-14471.898039667671</v>
          </cell>
        </row>
        <row r="608">
          <cell r="H608">
            <v>7386.1557732742003</v>
          </cell>
        </row>
        <row r="805">
          <cell r="H805">
            <v>-39678.108934699994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2.2068099999999999</v>
          </cell>
        </row>
        <row r="480">
          <cell r="H480">
            <v>58887.261795546787</v>
          </cell>
        </row>
        <row r="510">
          <cell r="H510">
            <v>-30269.504639991239</v>
          </cell>
        </row>
        <row r="512">
          <cell r="H512">
            <v>-12802.391873709739</v>
          </cell>
        </row>
        <row r="608">
          <cell r="H608">
            <v>7724.6274949401986</v>
          </cell>
        </row>
        <row r="805">
          <cell r="H805">
            <v>-40427.888099410004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2.2098200000000001</v>
          </cell>
        </row>
        <row r="480">
          <cell r="H480">
            <v>58553.422854152101</v>
          </cell>
        </row>
        <row r="510">
          <cell r="H510">
            <v>-30308.960537278384</v>
          </cell>
        </row>
        <row r="512">
          <cell r="H512">
            <v>-12825.424935390374</v>
          </cell>
        </row>
        <row r="608">
          <cell r="H608">
            <v>7251.4369874847998</v>
          </cell>
        </row>
        <row r="805">
          <cell r="H805">
            <v>-40745.922345410007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2.2102599999999999</v>
          </cell>
        </row>
        <row r="480">
          <cell r="H480">
            <v>60585.434371641983</v>
          </cell>
        </row>
        <row r="510">
          <cell r="H510">
            <v>-29687.671887737513</v>
          </cell>
        </row>
        <row r="512">
          <cell r="H512">
            <v>-10686.770299663071</v>
          </cell>
        </row>
        <row r="608">
          <cell r="H608">
            <v>7220.4230209606003</v>
          </cell>
        </row>
        <row r="805">
          <cell r="H805">
            <v>-41325.289560510006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2.2110699999999999</v>
          </cell>
        </row>
        <row r="480">
          <cell r="H480">
            <v>60413.108369605623</v>
          </cell>
        </row>
        <row r="510">
          <cell r="H510">
            <v>-29890.888548851162</v>
          </cell>
        </row>
        <row r="512">
          <cell r="H512">
            <v>-11199.421095438231</v>
          </cell>
        </row>
        <row r="608">
          <cell r="H608">
            <v>7289.6527326052001</v>
          </cell>
        </row>
        <row r="805">
          <cell r="H805">
            <v>-41526.362898109997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2.2121200000000001</v>
          </cell>
        </row>
        <row r="480">
          <cell r="H480">
            <v>59784.243874124484</v>
          </cell>
        </row>
        <row r="510">
          <cell r="H510">
            <v>-30474.883342817098</v>
          </cell>
        </row>
        <row r="512">
          <cell r="H512">
            <v>-12028.655449990272</v>
          </cell>
        </row>
        <row r="608">
          <cell r="H608">
            <v>7126.7911872231989</v>
          </cell>
        </row>
        <row r="805">
          <cell r="H805">
            <v>-41218.210395410002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2.2131699999999999</v>
          </cell>
        </row>
        <row r="480">
          <cell r="H480">
            <v>58891.75231276454</v>
          </cell>
        </row>
        <row r="510">
          <cell r="H510">
            <v>-30568.643245326457</v>
          </cell>
        </row>
        <row r="512">
          <cell r="H512">
            <v>-12782.195526054535</v>
          </cell>
        </row>
        <row r="608">
          <cell r="H608">
            <v>7126.8448109733999</v>
          </cell>
        </row>
        <row r="805">
          <cell r="H805">
            <v>-40966.954748309996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2.2136200000000001</v>
          </cell>
        </row>
        <row r="480">
          <cell r="H480">
            <v>59339.13359270597</v>
          </cell>
        </row>
        <row r="510">
          <cell r="H510">
            <v>-30636.511749227448</v>
          </cell>
        </row>
        <row r="512">
          <cell r="H512">
            <v>-12254.70482186622</v>
          </cell>
        </row>
        <row r="608">
          <cell r="H608">
            <v>7127.2397977946002</v>
          </cell>
        </row>
        <row r="805">
          <cell r="H805">
            <v>-40959.869937809999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2.2137699999999998</v>
          </cell>
        </row>
        <row r="480">
          <cell r="H480">
            <v>58595.178058172183</v>
          </cell>
        </row>
        <row r="510">
          <cell r="H510">
            <v>-31078.684584191047</v>
          </cell>
        </row>
        <row r="512">
          <cell r="H512">
            <v>-13102.786651295504</v>
          </cell>
        </row>
        <row r="608">
          <cell r="H608">
            <v>7127.2811073896</v>
          </cell>
        </row>
        <row r="805">
          <cell r="H805">
            <v>-40921.763613210001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2.2139199999999999</v>
          </cell>
        </row>
        <row r="480">
          <cell r="H480">
            <v>58573.242351338587</v>
          </cell>
        </row>
        <row r="510">
          <cell r="H510">
            <v>-31082.642830740911</v>
          </cell>
        </row>
        <row r="512">
          <cell r="H512">
            <v>-13096.051294956731</v>
          </cell>
        </row>
        <row r="608">
          <cell r="H608">
            <v>7127.2756491563996</v>
          </cell>
        </row>
        <row r="805">
          <cell r="H805">
            <v>-40867.184950410003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2.21407</v>
          </cell>
        </row>
        <row r="480">
          <cell r="H480">
            <v>59464.875018305596</v>
          </cell>
        </row>
        <row r="510">
          <cell r="H510">
            <v>-30860.724551664298</v>
          </cell>
        </row>
        <row r="512">
          <cell r="H512">
            <v>-12367.107188315655</v>
          </cell>
        </row>
        <row r="608">
          <cell r="H608">
            <v>7451.6532210639998</v>
          </cell>
        </row>
        <row r="805">
          <cell r="H805">
            <v>-40841.309307910007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2.2142300000000001</v>
          </cell>
        </row>
        <row r="480">
          <cell r="H480">
            <v>60840.979659488141</v>
          </cell>
        </row>
        <row r="510">
          <cell r="H510">
            <v>-30698.729696106318</v>
          </cell>
        </row>
        <row r="512">
          <cell r="H512">
            <v>-10260.76266594807</v>
          </cell>
        </row>
        <row r="608">
          <cell r="H608">
            <v>7282.476207213399</v>
          </cell>
        </row>
        <row r="805">
          <cell r="H805">
            <v>-40949.641623110001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8">
          <cell r="H578">
            <v>-92.696817019999997</v>
          </cell>
        </row>
        <row r="737">
          <cell r="H737">
            <v>-136.40070921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88">
          <cell r="H588">
            <v>-21701.00591389733</v>
          </cell>
        </row>
        <row r="747">
          <cell r="H747">
            <v>13.018821619999999</v>
          </cell>
        </row>
      </sheetData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88">
          <cell r="H588">
            <v>-23618.72316683974</v>
          </cell>
        </row>
        <row r="747">
          <cell r="H747">
            <v>12.732875630000001</v>
          </cell>
        </row>
      </sheetData>
      <sheetData sheetId="2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-21991.052165524507</v>
          </cell>
        </row>
        <row r="759">
          <cell r="H759">
            <v>12.876796949999999</v>
          </cell>
        </row>
      </sheetData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-21900.323259415698</v>
          </cell>
        </row>
        <row r="759">
          <cell r="H759">
            <v>0.97572669999999995</v>
          </cell>
        </row>
      </sheetData>
      <sheetData sheetId="2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-21526.710041651819</v>
          </cell>
        </row>
        <row r="759">
          <cell r="H759">
            <v>1.9548925400000001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-20339.928715470745</v>
          </cell>
        </row>
        <row r="759">
          <cell r="H759">
            <v>2.8824663300000002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-18231.845552791969</v>
          </cell>
        </row>
        <row r="759">
          <cell r="H759">
            <v>3.9301038300000002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-16496.19163810289</v>
          </cell>
        </row>
        <row r="759">
          <cell r="H759">
            <v>4.9717303399999997</v>
          </cell>
        </row>
      </sheetData>
      <sheetData sheetId="2"/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-17889.864321413577</v>
          </cell>
        </row>
        <row r="761">
          <cell r="H761">
            <v>6.03783197</v>
          </cell>
        </row>
      </sheetData>
      <sheetData sheetId="2"/>
      <sheetData sheetId="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-15485.911303125698</v>
          </cell>
        </row>
        <row r="761">
          <cell r="H761">
            <v>7.1128379500000003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-16570.952583215374</v>
          </cell>
        </row>
        <row r="761">
          <cell r="H761">
            <v>8.1142587300000013</v>
          </cell>
        </row>
      </sheetData>
      <sheetData sheetId="2"/>
      <sheetData sheetId="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0.1468963623046875</v>
          </cell>
        </row>
        <row r="500">
          <cell r="H500">
            <v>0</v>
          </cell>
        </row>
        <row r="502">
          <cell r="H502">
            <v>-68744.612766179111</v>
          </cell>
        </row>
        <row r="598">
          <cell r="H598">
            <v>-18423.402480635905</v>
          </cell>
        </row>
        <row r="761">
          <cell r="H761">
            <v>9.1234757899999988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0.38983917236328125</v>
          </cell>
        </row>
        <row r="500">
          <cell r="H500">
            <v>0</v>
          </cell>
        </row>
        <row r="502">
          <cell r="H502">
            <v>-68916.057885444578</v>
          </cell>
        </row>
        <row r="598">
          <cell r="H598">
            <v>-20409.876567855114</v>
          </cell>
        </row>
        <row r="761">
          <cell r="H761">
            <v>10.1153555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0.33489227294921875</v>
          </cell>
        </row>
        <row r="500">
          <cell r="H500">
            <v>0</v>
          </cell>
        </row>
        <row r="502">
          <cell r="H502">
            <v>-68511.081671989712</v>
          </cell>
        </row>
        <row r="598">
          <cell r="H598">
            <v>-21114.521470602846</v>
          </cell>
        </row>
        <row r="761">
          <cell r="H761">
            <v>11.112845249999999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0.53002166748046875</v>
          </cell>
        </row>
        <row r="500">
          <cell r="H500">
            <v>0</v>
          </cell>
        </row>
        <row r="502">
          <cell r="H502">
            <v>-62371.181571876186</v>
          </cell>
        </row>
        <row r="598">
          <cell r="H598">
            <v>-26002.072435701524</v>
          </cell>
        </row>
        <row r="761">
          <cell r="H761">
            <v>12.09887033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</v>
          </cell>
        </row>
        <row r="500">
          <cell r="H500">
            <v>-1.0105248537999998</v>
          </cell>
        </row>
        <row r="502">
          <cell r="H502">
            <v>0</v>
          </cell>
        </row>
        <row r="598">
          <cell r="H598">
            <v>-12.524229179999999</v>
          </cell>
        </row>
        <row r="761">
          <cell r="H761">
            <v>-68.599999999999994</v>
          </cell>
        </row>
        <row r="790">
          <cell r="H790">
            <v>-15.535079442399999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1">
          <cell r="H471">
            <v>0</v>
          </cell>
        </row>
        <row r="501">
          <cell r="H501">
            <v>0</v>
          </cell>
        </row>
        <row r="503">
          <cell r="H503">
            <v>0</v>
          </cell>
        </row>
        <row r="599">
          <cell r="H599">
            <v>0</v>
          </cell>
        </row>
        <row r="764">
          <cell r="H764">
            <v>-177.8320544</v>
          </cell>
        </row>
        <row r="793">
          <cell r="H793">
            <v>0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0.61721038818359375</v>
          </cell>
        </row>
        <row r="502">
          <cell r="H502">
            <v>0</v>
          </cell>
        </row>
        <row r="504">
          <cell r="H504">
            <v>-64393.307691634778</v>
          </cell>
        </row>
        <row r="600">
          <cell r="H600">
            <v>-23882.958091562192</v>
          </cell>
        </row>
        <row r="765">
          <cell r="H765">
            <v>3.1375741000000001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0.43837738037109375</v>
          </cell>
        </row>
        <row r="502">
          <cell r="H502">
            <v>0</v>
          </cell>
        </row>
        <row r="504">
          <cell r="H504">
            <v>-63958.757084868026</v>
          </cell>
        </row>
        <row r="600">
          <cell r="H600">
            <v>-21951.357989004529</v>
          </cell>
        </row>
        <row r="765">
          <cell r="H765">
            <v>4.2202397400000002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0.30027008056640625</v>
          </cell>
        </row>
        <row r="502">
          <cell r="H502">
            <v>0</v>
          </cell>
        </row>
        <row r="504">
          <cell r="H504">
            <v>-62334.519483329743</v>
          </cell>
        </row>
        <row r="600">
          <cell r="H600">
            <v>-22265.533127121555</v>
          </cell>
        </row>
        <row r="765">
          <cell r="H765">
            <v>5.2937266799999998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0.3176727294921875</v>
          </cell>
        </row>
        <row r="502">
          <cell r="H502">
            <v>0</v>
          </cell>
        </row>
        <row r="504">
          <cell r="H504">
            <v>-62536.810570389527</v>
          </cell>
        </row>
        <row r="600">
          <cell r="H600">
            <v>-24130.001424136048</v>
          </cell>
        </row>
        <row r="765">
          <cell r="H765">
            <v>6.4331430700000007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0.37497711181640625</v>
          </cell>
        </row>
        <row r="502">
          <cell r="H502">
            <v>0</v>
          </cell>
        </row>
        <row r="504">
          <cell r="H504">
            <v>-61001.96543023803</v>
          </cell>
        </row>
        <row r="600">
          <cell r="H600">
            <v>-22359.320597110025</v>
          </cell>
        </row>
        <row r="765">
          <cell r="H765">
            <v>7.5739374000000002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8.370208740234375E-2</v>
          </cell>
        </row>
        <row r="502">
          <cell r="H502">
            <v>0</v>
          </cell>
        </row>
        <row r="504">
          <cell r="H504">
            <v>-60353.853098806503</v>
          </cell>
        </row>
        <row r="600">
          <cell r="H600">
            <v>-22327.951755509755</v>
          </cell>
        </row>
        <row r="765">
          <cell r="H765">
            <v>8.7084859300000002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0.3704681396484375</v>
          </cell>
        </row>
        <row r="502">
          <cell r="H502">
            <v>0</v>
          </cell>
        </row>
        <row r="504">
          <cell r="H504">
            <v>-59701.351525934311</v>
          </cell>
        </row>
        <row r="600">
          <cell r="H600">
            <v>-24547.086721308526</v>
          </cell>
        </row>
        <row r="765">
          <cell r="H765">
            <v>9.8492569299999992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0.11737060546875</v>
          </cell>
        </row>
        <row r="502">
          <cell r="H502">
            <v>0</v>
          </cell>
        </row>
        <row r="504">
          <cell r="H504">
            <v>-57673.077465773837</v>
          </cell>
        </row>
        <row r="600">
          <cell r="H600">
            <v>-25204.262270020321</v>
          </cell>
        </row>
        <row r="765">
          <cell r="H765">
            <v>10.99207425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0.21288299560546875</v>
          </cell>
        </row>
        <row r="502">
          <cell r="H502">
            <v>0</v>
          </cell>
        </row>
        <row r="504">
          <cell r="H504">
            <v>-54156.628833257717</v>
          </cell>
        </row>
        <row r="600">
          <cell r="H600">
            <v>-26144.625159392803</v>
          </cell>
        </row>
        <row r="765">
          <cell r="H765">
            <v>12.153970409999999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76864712.596755981</v>
          </cell>
        </row>
        <row r="503">
          <cell r="H503">
            <v>0</v>
          </cell>
        </row>
        <row r="505">
          <cell r="H505">
            <v>-46563.571174940633</v>
          </cell>
        </row>
        <row r="601">
          <cell r="H601">
            <v>-32232.254658841739</v>
          </cell>
        </row>
        <row r="766">
          <cell r="H766">
            <v>15.222579319999999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0.25766754150390625</v>
          </cell>
        </row>
        <row r="503">
          <cell r="H503">
            <v>0</v>
          </cell>
        </row>
        <row r="505">
          <cell r="H505">
            <v>-46544.133787802115</v>
          </cell>
        </row>
        <row r="601">
          <cell r="H601">
            <v>-27265.46572228564</v>
          </cell>
        </row>
        <row r="766">
          <cell r="H766">
            <v>3.0688167799999997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6.285858154296875E-2</v>
          </cell>
        </row>
        <row r="503">
          <cell r="H503">
            <v>0</v>
          </cell>
        </row>
        <row r="505">
          <cell r="H505">
            <v>-47463.14076422833</v>
          </cell>
        </row>
        <row r="601">
          <cell r="H601">
            <v>-26421.997303251861</v>
          </cell>
        </row>
        <row r="766">
          <cell r="H766">
            <v>6.1319102300000008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0.514251708984375</v>
          </cell>
        </row>
        <row r="503">
          <cell r="H503">
            <v>0</v>
          </cell>
        </row>
        <row r="505">
          <cell r="H505">
            <v>-41245.249449274765</v>
          </cell>
        </row>
        <row r="601">
          <cell r="H601">
            <v>-21915.407793311206</v>
          </cell>
        </row>
        <row r="766">
          <cell r="H766">
            <v>15.203040339999999</v>
          </cell>
        </row>
        <row r="795">
          <cell r="H79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2.17259</v>
          </cell>
        </row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2.1796199999999999</v>
          </cell>
        </row>
        <row r="480">
          <cell r="H480">
            <v>58520.639442832107</v>
          </cell>
        </row>
        <row r="510">
          <cell r="H510">
            <v>-25240.010465296018</v>
          </cell>
        </row>
        <row r="512">
          <cell r="H512">
            <v>-6411.5557150389077</v>
          </cell>
        </row>
        <row r="608">
          <cell r="H608">
            <v>5509.6124379317998</v>
          </cell>
        </row>
        <row r="805">
          <cell r="H805">
            <v>-42253.187647699997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2.1853400000000001</v>
          </cell>
        </row>
        <row r="480">
          <cell r="H480">
            <v>57957.263004208711</v>
          </cell>
        </row>
        <row r="510">
          <cell r="H510">
            <v>-25548.553991914014</v>
          </cell>
        </row>
        <row r="512">
          <cell r="H512">
            <v>-6040.0740864734644</v>
          </cell>
        </row>
        <row r="608">
          <cell r="H608">
            <v>5603.3203978791998</v>
          </cell>
        </row>
        <row r="805">
          <cell r="H805">
            <v>-41712.531907800003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2.1925599999999998</v>
          </cell>
        </row>
        <row r="480">
          <cell r="H480">
            <v>55134.025095758581</v>
          </cell>
        </row>
        <row r="510">
          <cell r="H510">
            <v>-29791.891118109015</v>
          </cell>
        </row>
        <row r="512">
          <cell r="H512">
            <v>-12531.037347315965</v>
          </cell>
        </row>
        <row r="608">
          <cell r="H608">
            <v>5626.4157588523994</v>
          </cell>
        </row>
        <row r="805">
          <cell r="H805">
            <v>-40597.346280400001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X888"/>
  <sheetViews>
    <sheetView tabSelected="1"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3.2" outlineLevelRow="1" outlineLevelCol="1" x14ac:dyDescent="0.25"/>
  <cols>
    <col min="1" max="1" width="3.33203125" style="200" customWidth="1"/>
    <col min="2" max="2" width="2.5546875" customWidth="1"/>
    <col min="3" max="3" width="2.6640625" customWidth="1"/>
    <col min="4" max="4" width="66.886718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32" hidden="1" customWidth="1" outlineLevel="1" collapsed="1"/>
    <col min="14" max="16" width="8.6640625" style="132" hidden="1" customWidth="1" outlineLevel="1"/>
    <col min="17" max="17" width="8.6640625" style="132" hidden="1" customWidth="1"/>
    <col min="18" max="24" width="8.6640625" style="132" hidden="1" customWidth="1" outlineLevel="1"/>
    <col min="25" max="25" width="8.88671875" style="132" hidden="1" customWidth="1" outlineLevel="1"/>
    <col min="26" max="28" width="8.6640625" style="132" hidden="1" customWidth="1" outlineLevel="1"/>
    <col min="29" max="29" width="8.6640625" style="132" hidden="1" customWidth="1"/>
    <col min="30" max="35" width="8.6640625" style="132" hidden="1" customWidth="1" outlineLevel="1"/>
    <col min="36" max="40" width="8.88671875" style="132" hidden="1" customWidth="1" outlineLevel="1"/>
    <col min="41" max="41" width="8.88671875" style="132" hidden="1" customWidth="1"/>
    <col min="42" max="46" width="8.88671875" style="132" hidden="1" customWidth="1" outlineLevel="1"/>
    <col min="47" max="52" width="8.88671875" style="178" hidden="1" customWidth="1" outlineLevel="1"/>
    <col min="53" max="53" width="8.88671875" style="178" hidden="1" customWidth="1"/>
    <col min="54" max="60" width="8.88671875" style="178" hidden="1" customWidth="1" outlineLevel="1"/>
    <col min="61" max="61" width="8.6640625" style="178" hidden="1" customWidth="1" outlineLevel="1"/>
    <col min="62" max="64" width="8.88671875" style="178" hidden="1" customWidth="1" outlineLevel="1"/>
    <col min="65" max="65" width="8.88671875" style="178" hidden="1" customWidth="1"/>
    <col min="66" max="71" width="8.88671875" style="178" hidden="1" customWidth="1" outlineLevel="1"/>
    <col min="72" max="72" width="8.6640625" style="178" hidden="1" customWidth="1" outlineLevel="1"/>
    <col min="73" max="77" width="8.88671875" style="178" hidden="1" customWidth="1" outlineLevel="1"/>
    <col min="78" max="78" width="8.88671875" style="178" hidden="1" customWidth="1" outlineLevel="1" collapsed="1"/>
    <col min="79" max="88" width="8.88671875" style="178" hidden="1" customWidth="1" outlineLevel="1"/>
    <col min="89" max="89" width="8.88671875" style="178" customWidth="1" collapsed="1"/>
    <col min="90" max="93" width="8.88671875" style="178" hidden="1" customWidth="1"/>
    <col min="94" max="100" width="9.33203125" style="178" hidden="1" customWidth="1"/>
    <col min="101" max="101" width="9.33203125" style="178" customWidth="1"/>
    <col min="102" max="103" width="9.33203125" style="178" hidden="1" customWidth="1"/>
    <col min="104" max="114" width="9.33203125" style="178" customWidth="1"/>
    <col min="115" max="117" width="8.33203125" style="178" customWidth="1"/>
    <col min="118" max="118" width="9" style="178" customWidth="1"/>
    <col min="119" max="119" width="10" style="178" customWidth="1"/>
    <col min="120" max="120" width="14.88671875" customWidth="1"/>
  </cols>
  <sheetData>
    <row r="1" spans="1:128" x14ac:dyDescent="0.25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5">
      <c r="A3"/>
      <c r="C3" s="15"/>
      <c r="D3" s="908" t="s">
        <v>108</v>
      </c>
      <c r="E3" s="910" t="s">
        <v>88</v>
      </c>
      <c r="F3" s="910" t="s">
        <v>90</v>
      </c>
      <c r="G3" s="910" t="s">
        <v>91</v>
      </c>
      <c r="H3" s="910" t="s">
        <v>92</v>
      </c>
      <c r="I3" s="910" t="s">
        <v>93</v>
      </c>
      <c r="J3" s="910" t="s">
        <v>95</v>
      </c>
      <c r="K3" s="910" t="s">
        <v>97</v>
      </c>
      <c r="L3" s="897" t="s">
        <v>98</v>
      </c>
      <c r="M3" s="899" t="s">
        <v>99</v>
      </c>
      <c r="N3" s="897" t="s">
        <v>100</v>
      </c>
      <c r="O3" s="897" t="s">
        <v>101</v>
      </c>
      <c r="P3" s="899" t="s">
        <v>102</v>
      </c>
      <c r="Q3" s="897" t="s">
        <v>103</v>
      </c>
      <c r="R3" s="897" t="s">
        <v>104</v>
      </c>
      <c r="S3" s="897" t="s">
        <v>105</v>
      </c>
      <c r="T3" s="897" t="s">
        <v>106</v>
      </c>
      <c r="U3" s="897" t="s">
        <v>114</v>
      </c>
      <c r="V3" s="897" t="s">
        <v>115</v>
      </c>
      <c r="W3" s="897" t="s">
        <v>116</v>
      </c>
      <c r="X3" s="897" t="s">
        <v>117</v>
      </c>
      <c r="Y3" s="897" t="s">
        <v>118</v>
      </c>
      <c r="Z3" s="897" t="s">
        <v>119</v>
      </c>
      <c r="AA3" s="897" t="s">
        <v>120</v>
      </c>
      <c r="AB3" s="897" t="s">
        <v>121</v>
      </c>
      <c r="AC3" s="897" t="s">
        <v>122</v>
      </c>
      <c r="AD3" s="897" t="s">
        <v>123</v>
      </c>
      <c r="AE3" s="897" t="s">
        <v>124</v>
      </c>
      <c r="AF3" s="897" t="s">
        <v>125</v>
      </c>
      <c r="AG3" s="897" t="s">
        <v>126</v>
      </c>
      <c r="AH3" s="897" t="s">
        <v>127</v>
      </c>
      <c r="AI3" s="897" t="s">
        <v>128</v>
      </c>
      <c r="AJ3" s="897" t="s">
        <v>129</v>
      </c>
      <c r="AK3" s="897" t="s">
        <v>130</v>
      </c>
      <c r="AL3" s="897" t="s">
        <v>131</v>
      </c>
      <c r="AM3" s="897" t="s">
        <v>132</v>
      </c>
      <c r="AN3" s="897" t="s">
        <v>133</v>
      </c>
      <c r="AO3" s="897" t="s">
        <v>134</v>
      </c>
      <c r="AP3" s="897" t="s">
        <v>135</v>
      </c>
      <c r="AQ3" s="897" t="s">
        <v>136</v>
      </c>
      <c r="AR3" s="897" t="s">
        <v>137</v>
      </c>
      <c r="AS3" s="897" t="s">
        <v>138</v>
      </c>
      <c r="AT3" s="897" t="s">
        <v>139</v>
      </c>
      <c r="AU3" s="897" t="s">
        <v>140</v>
      </c>
      <c r="AV3" s="899" t="s">
        <v>141</v>
      </c>
      <c r="AW3" s="897" t="s">
        <v>142</v>
      </c>
      <c r="AX3" s="897" t="s">
        <v>143</v>
      </c>
      <c r="AY3" s="897" t="s">
        <v>144</v>
      </c>
      <c r="AZ3" s="897" t="s">
        <v>145</v>
      </c>
      <c r="BA3" s="897" t="s">
        <v>146</v>
      </c>
      <c r="BB3" s="897" t="s">
        <v>152</v>
      </c>
      <c r="BC3" s="897" t="s">
        <v>153</v>
      </c>
      <c r="BD3" s="897" t="s">
        <v>154</v>
      </c>
      <c r="BE3" s="897" t="s">
        <v>155</v>
      </c>
      <c r="BF3" s="897" t="s">
        <v>156</v>
      </c>
      <c r="BG3" s="897" t="s">
        <v>162</v>
      </c>
      <c r="BH3" s="897" t="s">
        <v>163</v>
      </c>
      <c r="BI3" s="897" t="s">
        <v>164</v>
      </c>
      <c r="BJ3" s="897" t="s">
        <v>165</v>
      </c>
      <c r="BK3" s="897" t="s">
        <v>167</v>
      </c>
      <c r="BL3" s="899" t="s">
        <v>168</v>
      </c>
      <c r="BM3" s="897" t="s">
        <v>169</v>
      </c>
      <c r="BN3" s="897" t="s">
        <v>170</v>
      </c>
      <c r="BO3" s="897" t="s">
        <v>171</v>
      </c>
      <c r="BP3" s="897" t="s">
        <v>172</v>
      </c>
      <c r="BQ3" s="897" t="s">
        <v>173</v>
      </c>
      <c r="BR3" s="897" t="s">
        <v>174</v>
      </c>
      <c r="BS3" s="903" t="s">
        <v>175</v>
      </c>
      <c r="BT3" s="903" t="s">
        <v>176</v>
      </c>
      <c r="BU3" s="901" t="s">
        <v>185</v>
      </c>
      <c r="BV3" s="897" t="s">
        <v>186</v>
      </c>
      <c r="BW3" s="897" t="s">
        <v>192</v>
      </c>
      <c r="BX3" s="897" t="s">
        <v>193</v>
      </c>
      <c r="BY3" s="897" t="s">
        <v>196</v>
      </c>
      <c r="BZ3" s="899" t="s">
        <v>200</v>
      </c>
      <c r="CA3" s="899" t="s">
        <v>201</v>
      </c>
      <c r="CB3" s="899" t="s">
        <v>203</v>
      </c>
      <c r="CC3" s="899" t="s">
        <v>205</v>
      </c>
      <c r="CD3" s="899" t="s">
        <v>206</v>
      </c>
      <c r="CE3" s="899" t="s">
        <v>207</v>
      </c>
      <c r="CF3" s="899" t="s">
        <v>208</v>
      </c>
      <c r="CG3" s="899" t="s">
        <v>209</v>
      </c>
      <c r="CH3" s="899" t="s">
        <v>211</v>
      </c>
      <c r="CI3" s="899" t="s">
        <v>212</v>
      </c>
      <c r="CJ3" s="897" t="s">
        <v>213</v>
      </c>
      <c r="CK3" s="897" t="s">
        <v>214</v>
      </c>
      <c r="CL3" s="897" t="s">
        <v>215</v>
      </c>
      <c r="CM3" s="897" t="s">
        <v>216</v>
      </c>
      <c r="CN3" s="897" t="s">
        <v>218</v>
      </c>
      <c r="CO3" s="897" t="s">
        <v>219</v>
      </c>
      <c r="CP3" s="897" t="s">
        <v>226</v>
      </c>
      <c r="CQ3" s="897" t="s">
        <v>227</v>
      </c>
      <c r="CR3" s="897" t="s">
        <v>228</v>
      </c>
      <c r="CS3" s="897" t="s">
        <v>230</v>
      </c>
      <c r="CT3" s="897" t="s">
        <v>231</v>
      </c>
      <c r="CU3" s="897" t="s">
        <v>232</v>
      </c>
      <c r="CV3" s="897" t="s">
        <v>234</v>
      </c>
      <c r="CW3" s="897" t="s">
        <v>237</v>
      </c>
      <c r="CX3" s="897" t="s">
        <v>239</v>
      </c>
      <c r="CY3" s="897" t="s">
        <v>240</v>
      </c>
      <c r="CZ3" s="897" t="s">
        <v>241</v>
      </c>
      <c r="DA3" s="897" t="s">
        <v>242</v>
      </c>
      <c r="DB3" s="897" t="s">
        <v>243</v>
      </c>
      <c r="DC3" s="897" t="s">
        <v>244</v>
      </c>
      <c r="DD3" s="897" t="s">
        <v>245</v>
      </c>
      <c r="DE3" s="875" t="s">
        <v>238</v>
      </c>
      <c r="DF3" s="875" t="s">
        <v>246</v>
      </c>
      <c r="DG3" s="875" t="s">
        <v>247</v>
      </c>
      <c r="DH3" s="875" t="s">
        <v>248</v>
      </c>
      <c r="DI3" s="894" t="s">
        <v>249</v>
      </c>
      <c r="DJ3" s="895"/>
      <c r="DK3" s="895"/>
      <c r="DL3" s="895"/>
      <c r="DM3" s="896"/>
      <c r="DN3" s="858"/>
      <c r="DO3" s="859"/>
    </row>
    <row r="4" spans="1:128" ht="16.5" customHeight="1" x14ac:dyDescent="0.25">
      <c r="A4"/>
      <c r="C4" s="23"/>
      <c r="D4" s="909"/>
      <c r="E4" s="911"/>
      <c r="F4" s="911"/>
      <c r="G4" s="911"/>
      <c r="H4" s="911"/>
      <c r="I4" s="911"/>
      <c r="J4" s="911"/>
      <c r="K4" s="911"/>
      <c r="L4" s="898"/>
      <c r="M4" s="900"/>
      <c r="N4" s="898"/>
      <c r="O4" s="898"/>
      <c r="P4" s="900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900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900"/>
      <c r="BM4" s="898"/>
      <c r="BN4" s="898"/>
      <c r="BO4" s="898"/>
      <c r="BP4" s="898"/>
      <c r="BQ4" s="898"/>
      <c r="BR4" s="898"/>
      <c r="BS4" s="904"/>
      <c r="BT4" s="904"/>
      <c r="BU4" s="902"/>
      <c r="BV4" s="898"/>
      <c r="BW4" s="898"/>
      <c r="BX4" s="898"/>
      <c r="BY4" s="898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98"/>
      <c r="CU4" s="898"/>
      <c r="CV4" s="898"/>
      <c r="CW4" s="898"/>
      <c r="CX4" s="898"/>
      <c r="CY4" s="898"/>
      <c r="CZ4" s="898"/>
      <c r="DA4" s="898"/>
      <c r="DB4" s="898"/>
      <c r="DC4" s="898"/>
      <c r="DD4" s="898"/>
      <c r="DE4" s="876">
        <v>42951</v>
      </c>
      <c r="DF4" s="876">
        <v>42958</v>
      </c>
      <c r="DG4" s="876">
        <v>42965</v>
      </c>
      <c r="DH4" s="876">
        <v>42972</v>
      </c>
      <c r="DI4" s="856">
        <v>42975</v>
      </c>
      <c r="DJ4" s="856">
        <f t="shared" ref="DJ4:DL4" si="0">DI4+1</f>
        <v>42976</v>
      </c>
      <c r="DK4" s="856">
        <f t="shared" si="0"/>
        <v>42977</v>
      </c>
      <c r="DL4" s="856">
        <f t="shared" si="0"/>
        <v>42978</v>
      </c>
      <c r="DM4" s="855">
        <f>DK4+1+1</f>
        <v>42979</v>
      </c>
      <c r="DN4" s="326" t="s">
        <v>13</v>
      </c>
      <c r="DO4" s="278" t="s">
        <v>195</v>
      </c>
    </row>
    <row r="5" spans="1:128" ht="9" customHeight="1" thickBot="1" x14ac:dyDescent="0.3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x14ac:dyDescent="0.25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5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396">
        <v>10427.930994279999</v>
      </c>
      <c r="DI7" s="404">
        <v>10436.79159097</v>
      </c>
      <c r="DJ7" s="404">
        <v>10495.693414650001</v>
      </c>
      <c r="DK7" s="404">
        <v>10488.357355220003</v>
      </c>
      <c r="DL7" s="404">
        <v>10452.235888740001</v>
      </c>
      <c r="DM7" s="404">
        <v>10444.413440850001</v>
      </c>
      <c r="DN7" s="331">
        <f t="shared" ref="DN7:DN17" si="1">DM7-DH7</f>
        <v>16.482446570002139</v>
      </c>
      <c r="DO7" s="715">
        <f t="shared" ref="DO7:DO17" si="2">(+(DM7/DH7-1))*100</f>
        <v>0.15806056425808901</v>
      </c>
      <c r="DP7" s="458"/>
      <c r="DQ7" s="789"/>
      <c r="DR7" s="269"/>
    </row>
    <row r="8" spans="1:128" ht="12.75" customHeight="1" x14ac:dyDescent="0.25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396">
        <v>8388.4913004200007</v>
      </c>
      <c r="DI8" s="404">
        <v>8390.1885554699984</v>
      </c>
      <c r="DJ8" s="404">
        <v>8419.4911773900003</v>
      </c>
      <c r="DK8" s="404">
        <v>8415.0642428300016</v>
      </c>
      <c r="DL8" s="404">
        <v>8380.7059343500005</v>
      </c>
      <c r="DM8" s="404">
        <v>8353.7473356900009</v>
      </c>
      <c r="DN8" s="331">
        <f t="shared" si="1"/>
        <v>-34.743964729999789</v>
      </c>
      <c r="DO8" s="715">
        <f t="shared" si="2"/>
        <v>-0.41418609718603117</v>
      </c>
      <c r="DP8" s="458"/>
      <c r="DQ8" s="789"/>
      <c r="DR8" s="269"/>
    </row>
    <row r="9" spans="1:128" ht="12.75" customHeight="1" x14ac:dyDescent="0.25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396">
        <v>235.16105768</v>
      </c>
      <c r="DI9" s="404">
        <v>235.31612651999998</v>
      </c>
      <c r="DJ9" s="404">
        <v>236.37326246000001</v>
      </c>
      <c r="DK9" s="404">
        <v>237.2586555</v>
      </c>
      <c r="DL9" s="404">
        <v>236.58927219</v>
      </c>
      <c r="DM9" s="404">
        <v>235.78020040000001</v>
      </c>
      <c r="DN9" s="331">
        <f t="shared" si="1"/>
        <v>0.61914272000001347</v>
      </c>
      <c r="DO9" s="715">
        <f t="shared" si="2"/>
        <v>0.2632845446896015</v>
      </c>
      <c r="DP9" s="458"/>
      <c r="DQ9" s="789"/>
      <c r="DR9" s="269"/>
    </row>
    <row r="10" spans="1:128" ht="12.75" customHeight="1" x14ac:dyDescent="0.25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396">
        <v>1767.5744826799998</v>
      </c>
      <c r="DI10" s="404">
        <v>1774.55855219</v>
      </c>
      <c r="DJ10" s="404">
        <v>1802.9356192600001</v>
      </c>
      <c r="DK10" s="404">
        <v>1799.0029084</v>
      </c>
      <c r="DL10" s="404">
        <v>1798.01992251</v>
      </c>
      <c r="DM10" s="404">
        <v>1818.09140415</v>
      </c>
      <c r="DN10" s="331">
        <f t="shared" si="1"/>
        <v>50.51692147000017</v>
      </c>
      <c r="DO10" s="715">
        <f t="shared" si="2"/>
        <v>2.8579797889708436</v>
      </c>
      <c r="DP10" s="458"/>
      <c r="DQ10" s="789"/>
      <c r="DR10" s="269"/>
    </row>
    <row r="11" spans="1:128" x14ac:dyDescent="0.25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396">
        <v>36.704153500000004</v>
      </c>
      <c r="DI11" s="404">
        <v>36.728356789999999</v>
      </c>
      <c r="DJ11" s="404">
        <v>36.893355539999995</v>
      </c>
      <c r="DK11" s="404">
        <v>37.031548489999999</v>
      </c>
      <c r="DL11" s="404">
        <v>36.920759689999997</v>
      </c>
      <c r="DM11" s="404">
        <v>36.79450061</v>
      </c>
      <c r="DN11" s="331">
        <f t="shared" si="1"/>
        <v>9.0347109999996178E-2</v>
      </c>
      <c r="DO11" s="715">
        <f t="shared" si="2"/>
        <v>0.24614955361930146</v>
      </c>
      <c r="DP11" s="458"/>
      <c r="DQ11" s="789"/>
      <c r="DR11" s="269"/>
    </row>
    <row r="12" spans="1:128" x14ac:dyDescent="0.25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396">
        <v>10427.929736669999</v>
      </c>
      <c r="DI12" s="404">
        <v>10436.790333359999</v>
      </c>
      <c r="DJ12" s="404">
        <v>10495.692157039999</v>
      </c>
      <c r="DK12" s="404">
        <v>10488.313087610002</v>
      </c>
      <c r="DL12" s="404">
        <v>10452.191524710001</v>
      </c>
      <c r="DM12" s="404">
        <v>10444.368996950001</v>
      </c>
      <c r="DN12" s="331">
        <f t="shared" si="1"/>
        <v>16.43926028000169</v>
      </c>
      <c r="DO12" s="715">
        <f t="shared" si="2"/>
        <v>0.15764644272766581</v>
      </c>
      <c r="DP12" s="458"/>
      <c r="DQ12" s="789"/>
      <c r="DR12" s="269"/>
    </row>
    <row r="13" spans="1:128" x14ac:dyDescent="0.25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2448.6170337507288</v>
      </c>
      <c r="DF13" s="404">
        <v>2471.4998133819245</v>
      </c>
      <c r="DG13" s="396">
        <v>2487.8264846997081</v>
      </c>
      <c r="DH13" s="396">
        <v>2457.7141042580174</v>
      </c>
      <c r="DI13" s="404">
        <v>2428.7361332201162</v>
      </c>
      <c r="DJ13" s="404">
        <v>2402.5580580247815</v>
      </c>
      <c r="DK13" s="404">
        <v>2395.6998752274048</v>
      </c>
      <c r="DL13" s="404">
        <v>2389.2932448935862</v>
      </c>
      <c r="DM13" s="404">
        <v>2405.902997895043</v>
      </c>
      <c r="DN13" s="331">
        <f t="shared" si="1"/>
        <v>-51.811106362974442</v>
      </c>
      <c r="DO13" s="715">
        <f t="shared" si="2"/>
        <v>-2.1081014375598506</v>
      </c>
      <c r="DP13" s="458"/>
      <c r="DQ13" s="790"/>
      <c r="DR13" s="696"/>
      <c r="DS13" s="696"/>
      <c r="DT13" s="696"/>
      <c r="DU13" s="696"/>
    </row>
    <row r="14" spans="1:128" x14ac:dyDescent="0.25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396">
        <v>1445.3862696699998</v>
      </c>
      <c r="DI14" s="404">
        <v>1445.4778819900002</v>
      </c>
      <c r="DJ14" s="404">
        <v>1437.8512062900002</v>
      </c>
      <c r="DK14" s="404">
        <v>1437.9104343000001</v>
      </c>
      <c r="DL14" s="404">
        <v>1437.7932687599998</v>
      </c>
      <c r="DM14" s="404">
        <v>1437.8627392400001</v>
      </c>
      <c r="DN14" s="331">
        <f t="shared" si="1"/>
        <v>-7.5235304299997097</v>
      </c>
      <c r="DO14" s="715">
        <f t="shared" si="2"/>
        <v>-0.52052040259918941</v>
      </c>
      <c r="DP14" s="458"/>
      <c r="DQ14" s="789"/>
      <c r="DR14" s="696"/>
      <c r="DS14" s="696"/>
      <c r="DT14" s="696"/>
      <c r="DU14" s="696"/>
    </row>
    <row r="15" spans="1:128" ht="12.75" customHeight="1" x14ac:dyDescent="0.25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396">
        <v>605.89159290240002</v>
      </c>
      <c r="DI15" s="404">
        <v>605.94402499429998</v>
      </c>
      <c r="DJ15" s="404">
        <v>588.51315810129995</v>
      </c>
      <c r="DK15" s="404">
        <v>588.53808141900004</v>
      </c>
      <c r="DL15" s="404">
        <v>588.56301455690004</v>
      </c>
      <c r="DM15" s="404">
        <v>588.58795156969995</v>
      </c>
      <c r="DN15" s="331">
        <f t="shared" si="1"/>
        <v>-17.303641332700067</v>
      </c>
      <c r="DO15" s="715">
        <f t="shared" si="2"/>
        <v>-2.8558972488478496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5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396">
        <v>733.91637033625</v>
      </c>
      <c r="DI16" s="404">
        <v>733.9787880857001</v>
      </c>
      <c r="DJ16" s="404">
        <v>734.03021082974999</v>
      </c>
      <c r="DK16" s="404">
        <v>734.06103656699997</v>
      </c>
      <c r="DL16" s="404">
        <v>734.09019755690008</v>
      </c>
      <c r="DM16" s="404">
        <v>734.11930969485002</v>
      </c>
      <c r="DN16" s="331">
        <f t="shared" si="1"/>
        <v>0.20293935860001966</v>
      </c>
      <c r="DO16" s="715">
        <f t="shared" si="2"/>
        <v>2.7651564510966509E-2</v>
      </c>
      <c r="DP16" s="458"/>
      <c r="DQ16" s="789"/>
      <c r="DR16" s="696"/>
      <c r="DS16" s="696"/>
      <c r="DT16" s="696"/>
      <c r="DU16" s="696"/>
    </row>
    <row r="17" spans="1:125" ht="12.75" customHeight="1" x14ac:dyDescent="0.25">
      <c r="C17" s="25"/>
      <c r="D17" s="681" t="s">
        <v>225</v>
      </c>
      <c r="E17" s="229">
        <f t="shared" ref="E17:AJ17" si="3">+E12+E13+E15+E16</f>
        <v>8743.2995502275498</v>
      </c>
      <c r="F17" s="229">
        <f t="shared" si="3"/>
        <v>8653.8322565486524</v>
      </c>
      <c r="G17" s="229">
        <f t="shared" si="3"/>
        <v>8694.1080005520525</v>
      </c>
      <c r="H17" s="229">
        <f t="shared" si="3"/>
        <v>8766.3872190041056</v>
      </c>
      <c r="I17" s="229">
        <f t="shared" si="3"/>
        <v>8821.2138794007369</v>
      </c>
      <c r="J17" s="229">
        <f t="shared" si="3"/>
        <v>9013.6161974470579</v>
      </c>
      <c r="K17" s="229">
        <f t="shared" si="3"/>
        <v>9117.050637170616</v>
      </c>
      <c r="L17" s="229">
        <f t="shared" si="3"/>
        <v>9216.5490000102036</v>
      </c>
      <c r="M17" s="229">
        <f t="shared" si="3"/>
        <v>9585.8600533512017</v>
      </c>
      <c r="N17" s="229">
        <f t="shared" si="3"/>
        <v>9897.7912738221803</v>
      </c>
      <c r="O17" s="229">
        <f t="shared" si="3"/>
        <v>9994.1005235507328</v>
      </c>
      <c r="P17" s="229">
        <f t="shared" si="3"/>
        <v>10171.442165777251</v>
      </c>
      <c r="Q17" s="229">
        <f t="shared" si="3"/>
        <v>10217.144151113553</v>
      </c>
      <c r="R17" s="229">
        <f t="shared" si="3"/>
        <v>10204.417480454025</v>
      </c>
      <c r="S17" s="225">
        <f t="shared" si="3"/>
        <v>10089.880962785634</v>
      </c>
      <c r="T17" s="225">
        <f t="shared" si="3"/>
        <v>10052.758651770724</v>
      </c>
      <c r="U17" s="225">
        <f t="shared" si="3"/>
        <v>10095.114104820408</v>
      </c>
      <c r="V17" s="225">
        <f t="shared" si="3"/>
        <v>10080.091287389256</v>
      </c>
      <c r="W17" s="225">
        <f t="shared" si="3"/>
        <v>10094.649856413966</v>
      </c>
      <c r="X17" s="225">
        <f t="shared" si="3"/>
        <v>10240.226339436233</v>
      </c>
      <c r="Y17" s="225">
        <f t="shared" si="3"/>
        <v>10345.629520611479</v>
      </c>
      <c r="Z17" s="225">
        <f t="shared" si="3"/>
        <v>10678.260511949655</v>
      </c>
      <c r="AA17" s="225">
        <f t="shared" si="3"/>
        <v>10915.227980318292</v>
      </c>
      <c r="AB17" s="225">
        <f t="shared" si="3"/>
        <v>11004.765024425793</v>
      </c>
      <c r="AC17" s="225">
        <f t="shared" si="3"/>
        <v>11353.080702677154</v>
      </c>
      <c r="AD17" s="225">
        <f t="shared" si="3"/>
        <v>11362.143770821072</v>
      </c>
      <c r="AE17" s="225">
        <f t="shared" si="3"/>
        <v>11670.729075007293</v>
      </c>
      <c r="AF17" s="225">
        <f t="shared" si="3"/>
        <v>11772.874790913265</v>
      </c>
      <c r="AG17" s="225">
        <f t="shared" si="3"/>
        <v>12145.493858149552</v>
      </c>
      <c r="AH17" s="225">
        <f t="shared" si="3"/>
        <v>12078.416237352376</v>
      </c>
      <c r="AI17" s="225">
        <f t="shared" si="3"/>
        <v>12196.273056207589</v>
      </c>
      <c r="AJ17" s="225">
        <f t="shared" si="3"/>
        <v>12612.521495689685</v>
      </c>
      <c r="AK17" s="225">
        <f t="shared" ref="AK17:BP17" si="4">+AK12+AK13+AK15+AK16</f>
        <v>13153.607451184025</v>
      </c>
      <c r="AL17" s="225">
        <f t="shared" si="4"/>
        <v>12835.153648368982</v>
      </c>
      <c r="AM17" s="225">
        <f t="shared" si="4"/>
        <v>13332.896478927489</v>
      </c>
      <c r="AN17" s="225">
        <f t="shared" si="4"/>
        <v>13525.019748334684</v>
      </c>
      <c r="AO17" s="225">
        <f t="shared" si="4"/>
        <v>13430.914127053335</v>
      </c>
      <c r="AP17" s="225">
        <f t="shared" si="4"/>
        <v>13869.49290512617</v>
      </c>
      <c r="AQ17" s="225">
        <f t="shared" si="4"/>
        <v>14137.062411160441</v>
      </c>
      <c r="AR17" s="225">
        <f t="shared" si="4"/>
        <v>14107.367534309931</v>
      </c>
      <c r="AS17" s="225">
        <f t="shared" si="4"/>
        <v>14199.879525752342</v>
      </c>
      <c r="AT17" s="225">
        <f t="shared" si="4"/>
        <v>13992.836512830438</v>
      </c>
      <c r="AU17" s="225">
        <f t="shared" si="4"/>
        <v>14046.481748599252</v>
      </c>
      <c r="AV17" s="331">
        <f t="shared" si="4"/>
        <v>14337.459506660538</v>
      </c>
      <c r="AW17" s="225">
        <f t="shared" si="4"/>
        <v>14669.444518601274</v>
      </c>
      <c r="AX17" s="225">
        <f t="shared" si="4"/>
        <v>15050.047762564205</v>
      </c>
      <c r="AY17" s="225">
        <f t="shared" si="4"/>
        <v>15384.990165996867</v>
      </c>
      <c r="AZ17" s="225">
        <f t="shared" si="4"/>
        <v>15477.504418987221</v>
      </c>
      <c r="BA17" s="225">
        <f t="shared" si="4"/>
        <v>15641.485590007578</v>
      </c>
      <c r="BB17" s="225">
        <f t="shared" si="4"/>
        <v>15857.38183181024</v>
      </c>
      <c r="BC17" s="225">
        <f t="shared" si="4"/>
        <v>15885.420740731151</v>
      </c>
      <c r="BD17" s="225">
        <f t="shared" si="4"/>
        <v>16041.74979590813</v>
      </c>
      <c r="BE17" s="225">
        <f t="shared" si="4"/>
        <v>16140.991952644375</v>
      </c>
      <c r="BF17" s="225">
        <f t="shared" si="4"/>
        <v>15935.492036800993</v>
      </c>
      <c r="BG17" s="225">
        <f t="shared" si="4"/>
        <v>15785.759611876952</v>
      </c>
      <c r="BH17" s="225">
        <f t="shared" si="4"/>
        <v>16329.821405994588</v>
      </c>
      <c r="BI17" s="225">
        <f t="shared" si="4"/>
        <v>16925.059681962379</v>
      </c>
      <c r="BJ17" s="331">
        <f t="shared" si="4"/>
        <v>17030.899940915366</v>
      </c>
      <c r="BK17" s="331">
        <f t="shared" si="4"/>
        <v>17399.893995760736</v>
      </c>
      <c r="BL17" s="385">
        <f t="shared" si="4"/>
        <v>17343.912591545315</v>
      </c>
      <c r="BM17" s="225">
        <f t="shared" si="4"/>
        <v>17648.681410436646</v>
      </c>
      <c r="BN17" s="331">
        <f t="shared" si="4"/>
        <v>17704.321040993847</v>
      </c>
      <c r="BO17" s="331">
        <f t="shared" si="4"/>
        <v>17775.341254256211</v>
      </c>
      <c r="BP17" s="331">
        <f t="shared" si="4"/>
        <v>17926.320872616907</v>
      </c>
      <c r="BQ17" s="331">
        <f t="shared" ref="BQ17:CO17" si="5">+BQ12+BQ13+BQ15+BQ16</f>
        <v>18070.762632382244</v>
      </c>
      <c r="BR17" s="225">
        <f t="shared" si="5"/>
        <v>18149.427353849067</v>
      </c>
      <c r="BS17" s="385">
        <f t="shared" si="5"/>
        <v>18437.627723821606</v>
      </c>
      <c r="BT17" s="225">
        <f t="shared" si="5"/>
        <v>18661.646486890961</v>
      </c>
      <c r="BU17" s="385">
        <f t="shared" si="5"/>
        <v>19098.450181691893</v>
      </c>
      <c r="BV17" s="225">
        <f t="shared" si="5"/>
        <v>19004.536842356392</v>
      </c>
      <c r="BW17" s="225">
        <f t="shared" si="5"/>
        <v>19056.744437214751</v>
      </c>
      <c r="BX17" s="678">
        <f t="shared" si="5"/>
        <v>19075.079589932837</v>
      </c>
      <c r="BY17" s="318">
        <f t="shared" si="5"/>
        <v>18738.517148313247</v>
      </c>
      <c r="BZ17" s="434">
        <f t="shared" si="5"/>
        <v>18570.816512439818</v>
      </c>
      <c r="CA17" s="679">
        <f t="shared" si="5"/>
        <v>18616.801641074318</v>
      </c>
      <c r="CB17" s="318">
        <f t="shared" si="5"/>
        <v>18427.394790495149</v>
      </c>
      <c r="CC17" s="679">
        <f t="shared" si="5"/>
        <v>18507.721166693646</v>
      </c>
      <c r="CD17" s="679">
        <f t="shared" si="5"/>
        <v>18388.714233247141</v>
      </c>
      <c r="CE17" s="318">
        <f t="shared" si="5"/>
        <v>18377.686905666396</v>
      </c>
      <c r="CF17" s="679">
        <f t="shared" si="5"/>
        <v>18189.912582492012</v>
      </c>
      <c r="CG17" s="318">
        <f t="shared" si="5"/>
        <v>18168.014437809048</v>
      </c>
      <c r="CH17" s="318">
        <f t="shared" si="5"/>
        <v>18027.539271276721</v>
      </c>
      <c r="CI17" s="318">
        <f t="shared" si="5"/>
        <v>17778.163999768243</v>
      </c>
      <c r="CJ17" s="318">
        <f t="shared" si="5"/>
        <v>17328.908128976658</v>
      </c>
      <c r="CK17" s="308">
        <f t="shared" si="5"/>
        <v>17057.309521927371</v>
      </c>
      <c r="CL17" s="637">
        <f t="shared" si="5"/>
        <v>16817.69150137464</v>
      </c>
      <c r="CM17" s="637">
        <f t="shared" si="5"/>
        <v>16807.240463908278</v>
      </c>
      <c r="CN17" s="637">
        <f t="shared" si="5"/>
        <v>16553.434209402807</v>
      </c>
      <c r="CO17" s="637">
        <f t="shared" si="5"/>
        <v>16330.595366602958</v>
      </c>
      <c r="CP17" s="396">
        <f>+CP12+CP13+CP15+CP16</f>
        <v>15837.073167421711</v>
      </c>
      <c r="CQ17" s="396">
        <f>+CQ12+CQ13+CQ15+CQ16</f>
        <v>15670.038960641408</v>
      </c>
      <c r="CR17" s="637">
        <f>+CR12+CR13+CR15+CR16</f>
        <v>15663.586803759375</v>
      </c>
      <c r="CS17" s="396">
        <f>+CS12+CS13+CS15+CS16</f>
        <v>15347.12388211213</v>
      </c>
      <c r="CT17" s="396">
        <f>+CT12+CT13+CT15+CT16</f>
        <v>15051.11518303971</v>
      </c>
      <c r="CU17" s="396">
        <f>CU12+CU13+CU15+CU16</f>
        <v>14780.619206761114</v>
      </c>
      <c r="CV17" s="396">
        <f t="shared" ref="CV17:CZ17" si="6">CV12+CV13+CV15+CV16</f>
        <v>14353.627336763771</v>
      </c>
      <c r="CW17" s="396">
        <f t="shared" si="6"/>
        <v>13909.947830269575</v>
      </c>
      <c r="CX17" s="396">
        <f t="shared" si="6"/>
        <v>13796.247720508798</v>
      </c>
      <c r="CY17" s="396">
        <f t="shared" si="6"/>
        <v>13742.087357665108</v>
      </c>
      <c r="CZ17" s="637">
        <f t="shared" si="6"/>
        <v>14369.087625749584</v>
      </c>
      <c r="DA17" s="396">
        <f>DA12+DA13+DA15+DA16</f>
        <v>14228.687329330971</v>
      </c>
      <c r="DB17" s="396">
        <f t="shared" ref="DB17:DH17" si="7">DB12+DB13+DB15+DB16</f>
        <v>14057.004143514039</v>
      </c>
      <c r="DC17" s="396">
        <f t="shared" si="7"/>
        <v>14080.129840437212</v>
      </c>
      <c r="DD17" s="396">
        <f t="shared" si="7"/>
        <v>14163.17570784433</v>
      </c>
      <c r="DE17" s="396">
        <f t="shared" si="7"/>
        <v>14149.637211412779</v>
      </c>
      <c r="DF17" s="404">
        <f t="shared" si="7"/>
        <v>14231.840185551422</v>
      </c>
      <c r="DG17" s="396">
        <f t="shared" si="7"/>
        <v>14278.253677809058</v>
      </c>
      <c r="DH17" s="396">
        <f t="shared" si="7"/>
        <v>14225.451804166667</v>
      </c>
      <c r="DI17" s="404">
        <f t="shared" ref="DI17:DJ17" si="8">DI12+DI13+DI15+DI16</f>
        <v>14205.449279660115</v>
      </c>
      <c r="DJ17" s="404">
        <f t="shared" si="8"/>
        <v>14220.79358399583</v>
      </c>
      <c r="DK17" s="404">
        <f t="shared" ref="DK17:DM17" si="9">DK12+DK13+DK15+DK16</f>
        <v>14206.612080823406</v>
      </c>
      <c r="DL17" s="404">
        <f t="shared" ref="DL17" si="10">DL12+DL13+DL15+DL16</f>
        <v>14164.137981717386</v>
      </c>
      <c r="DM17" s="404">
        <f t="shared" si="9"/>
        <v>14172.979256109593</v>
      </c>
      <c r="DN17" s="331">
        <f t="shared" si="1"/>
        <v>-52.472548057074164</v>
      </c>
      <c r="DO17" s="715">
        <f t="shared" si="2"/>
        <v>-0.3688638419322765</v>
      </c>
      <c r="DP17" s="458"/>
      <c r="DQ17" s="789"/>
      <c r="DR17" s="696"/>
      <c r="DS17" s="696"/>
      <c r="DT17" s="696"/>
      <c r="DU17" s="696"/>
    </row>
    <row r="18" spans="1:125" ht="12.75" customHeight="1" x14ac:dyDescent="0.25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5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5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5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3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683">
        <v>0</v>
      </c>
      <c r="DI22" s="878">
        <v>10</v>
      </c>
      <c r="DJ22" s="878">
        <v>5</v>
      </c>
      <c r="DK22" s="661">
        <v>0.2</v>
      </c>
      <c r="DL22" s="661">
        <v>5</v>
      </c>
      <c r="DM22" s="661">
        <v>0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ht="13.8" x14ac:dyDescent="0.3">
      <c r="A23" s="204"/>
      <c r="B23" s="3"/>
      <c r="C23" s="65" t="s">
        <v>56</v>
      </c>
      <c r="D23" s="92"/>
      <c r="E23" s="104"/>
      <c r="F23" s="104" t="e">
        <f>+#REF!*6.97</f>
        <v>#REF!</v>
      </c>
      <c r="G23" s="104" t="e">
        <f>+#REF!*6.97</f>
        <v>#REF!</v>
      </c>
      <c r="H23" s="104" t="e">
        <f>+#REF!*6.97</f>
        <v>#REF!</v>
      </c>
      <c r="I23" s="104" t="e">
        <f>+#REF!*6.97</f>
        <v>#REF!</v>
      </c>
      <c r="J23" s="104">
        <f>48.3/28.7</f>
        <v>1.6829268292682926</v>
      </c>
      <c r="K23" s="104">
        <f>48.3/28.7</f>
        <v>1.6829268292682926</v>
      </c>
      <c r="L23" s="104">
        <f>48.3/28.7</f>
        <v>1.6829268292682926</v>
      </c>
      <c r="M23" s="141"/>
      <c r="N23" s="154"/>
      <c r="O23" s="104">
        <f>48.3/28.7</f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5">
      <c r="A24" s="204"/>
      <c r="B24" s="90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f>+[20]MACRO!$H$445</f>
        <v>30157.232277248353</v>
      </c>
      <c r="V24" s="223">
        <f>+[21]MACRO!$H$445</f>
        <v>30403.324394647541</v>
      </c>
      <c r="W24" s="223">
        <f>+[22]MACRO!$H$447</f>
        <v>29903.289470033258</v>
      </c>
      <c r="X24" s="223">
        <f>+[23]MACRO!$H$447</f>
        <v>28898.70055204309</v>
      </c>
      <c r="Y24" s="223">
        <f>+[24]MACRO!$H$447</f>
        <v>28619.650201445958</v>
      </c>
      <c r="Z24" s="223">
        <f>+[25]MACRO!$H$450</f>
        <v>28656.14215422389</v>
      </c>
      <c r="AA24" s="223">
        <f>+[26]MACRO!$H$450</f>
        <v>28178.482855580798</v>
      </c>
      <c r="AB24" s="223">
        <f>+[27]MACRO!$H$450</f>
        <v>28789.856249272303</v>
      </c>
      <c r="AC24" s="223">
        <f>+[28]MACRO!$H$450</f>
        <v>32577.475381140739</v>
      </c>
      <c r="AD24" s="223">
        <f>+[29]MACRO!$H$450</f>
        <v>32958.579074453213</v>
      </c>
      <c r="AE24" s="223">
        <f>+[30]MACRO!$H$450</f>
        <v>32753.997521922407</v>
      </c>
      <c r="AF24" s="223">
        <f>+[31]MACRO!$H$458</f>
        <v>33318.498855925034</v>
      </c>
      <c r="AG24" s="223">
        <f>+[32]MACRO!$H$458</f>
        <v>30179.544053439462</v>
      </c>
      <c r="AH24" s="223">
        <f>+[33]MACRO!$H$458</f>
        <v>29387.94146173272</v>
      </c>
      <c r="AI24" s="223">
        <f>+[34]MACRO!$H$458</f>
        <v>31157.768917289424</v>
      </c>
      <c r="AJ24" s="223">
        <f>+[35]MACRO!$H$458</f>
        <v>31437.502481094012</v>
      </c>
      <c r="AK24" s="223">
        <f>+[36]MACRO!$H$460</f>
        <v>32635.139769102381</v>
      </c>
      <c r="AL24" s="223">
        <f>+[37]MACRO!$H$460</f>
        <v>34320.068200088397</v>
      </c>
      <c r="AM24" s="223">
        <f>+[38]MACRO!$H$460</f>
        <v>35375.422907394481</v>
      </c>
      <c r="AN24" s="223">
        <f>+[39]MACRO!$H$460</f>
        <v>37694.737930022849</v>
      </c>
      <c r="AO24" s="223">
        <f>+[40]MACRO!$H$460</f>
        <v>41768.10404689797</v>
      </c>
      <c r="AP24" s="223">
        <f>+[41]MACRO!$H$460</f>
        <v>39518.452970210099</v>
      </c>
      <c r="AQ24" s="223">
        <f>+[42]MACRO!$H$460</f>
        <v>39171.409393767935</v>
      </c>
      <c r="AR24" s="223">
        <f>+[43]MACRO!$H$460</f>
        <v>39703.293302109952</v>
      </c>
      <c r="AS24" s="223">
        <f>+[43]MACRO!$H$460</f>
        <v>39703.293302109952</v>
      </c>
      <c r="AT24" s="223">
        <f>+[44]MACRO!$H$460</f>
        <v>36725.834415524267</v>
      </c>
      <c r="AU24" s="314">
        <f>+[45]MACRO!$H$460</f>
        <v>37503.828244931763</v>
      </c>
      <c r="AV24" s="330">
        <f>+[46]MACRO!$H$460</f>
        <v>36976.145654643202</v>
      </c>
      <c r="AW24" s="223">
        <f>+[47]MACRO!$H$460</f>
        <v>37915.235268250122</v>
      </c>
      <c r="AX24" s="223">
        <f>+[48]MACRO!$H$460</f>
        <v>39808.812685307246</v>
      </c>
      <c r="AY24" s="223">
        <f>+[49]MACRO!$H$460</f>
        <v>39897.674000118262</v>
      </c>
      <c r="AZ24" s="223">
        <f>+[50]MACRO!$H$460</f>
        <v>42290.00662329363</v>
      </c>
      <c r="BA24" s="223">
        <f>+[51]MACRO!$H$460</f>
        <v>48670.600375916838</v>
      </c>
      <c r="BB24" s="223">
        <f>+[52]MACRO!$H$460</f>
        <v>45853.153171793674</v>
      </c>
      <c r="BC24" s="223">
        <f>+[53]MACRO!$H$460</f>
        <v>45106.01534060634</v>
      </c>
      <c r="BD24" s="223">
        <f>+[54]MACRO!$H$460</f>
        <v>43142.448600577838</v>
      </c>
      <c r="BE24" s="223">
        <f>+[55]MACRO!$H$460</f>
        <v>41892.660601382173</v>
      </c>
      <c r="BF24" s="223">
        <f>+[56]MACRO!$H$461</f>
        <v>41468.493126136476</v>
      </c>
      <c r="BG24" s="371">
        <f>+[57]MACRO!$H$462</f>
        <v>43314.165693718947</v>
      </c>
      <c r="BH24" s="371">
        <f>+[58]MACRO!$H$462</f>
        <v>42593.305946749912</v>
      </c>
      <c r="BI24" s="314">
        <f>+[59]MACRO!$H$462</f>
        <v>43705.429036464229</v>
      </c>
      <c r="BJ24" s="223">
        <f>+[60]MACRO!$H$465</f>
        <v>44527.373373869792</v>
      </c>
      <c r="BK24" s="223">
        <f>+[61]MACRO!$H$467</f>
        <v>45122.235544590403</v>
      </c>
      <c r="BL24" s="374">
        <f>+[62]MACRO!$H$467</f>
        <v>45309.288393787479</v>
      </c>
      <c r="BM24" s="223">
        <f>+[63]MACRO!$H$468</f>
        <v>53487.841091198701</v>
      </c>
      <c r="BN24" s="314">
        <f>+[64]MACRO!$H$468</f>
        <v>46502.025808538099</v>
      </c>
      <c r="BO24" s="314">
        <f>+[65]MACRO!$H$468</f>
        <v>44971.025892743819</v>
      </c>
      <c r="BP24" s="314">
        <f>+[66]MACRO!$H$468</f>
        <v>43583.380129660538</v>
      </c>
      <c r="BQ24" s="314">
        <f>+[67]MACRO!$H$468</f>
        <v>44933.133215966773</v>
      </c>
      <c r="BR24" s="314">
        <f>+[68]MACRO!$H$468</f>
        <v>44710.185835211887</v>
      </c>
      <c r="BS24" s="408">
        <f>+[69]MACRO!$H$470</f>
        <v>46248.208124989978</v>
      </c>
      <c r="BT24" s="314">
        <f>+[70]MACRO!$H$470</f>
        <v>45999.454656780101</v>
      </c>
      <c r="BU24" s="416">
        <f>+[71]MACRO!$H$470</f>
        <v>47132.791285223575</v>
      </c>
      <c r="BV24" s="416">
        <f>+[72]MACRO!$H$470</f>
        <v>0.1468963623046875</v>
      </c>
      <c r="BW24" s="416">
        <f>+[73]MACRO!$H$470</f>
        <v>0.38983917236328125</v>
      </c>
      <c r="BX24" s="416">
        <f>+[74]MACRO!$H$470</f>
        <v>0.33489227294921875</v>
      </c>
      <c r="BY24" s="314">
        <f>+[75]MACRO!$H$470</f>
        <v>0.53002166748046875</v>
      </c>
      <c r="BZ24" s="416">
        <f>+[76]MACRO!$H$470</f>
        <v>0</v>
      </c>
      <c r="CA24" s="416">
        <f>+[77]MACRO!$H$471</f>
        <v>0</v>
      </c>
      <c r="CB24" s="314">
        <f>+[78]MACRO!$H$472</f>
        <v>0.61721038818359375</v>
      </c>
      <c r="CC24" s="416">
        <f>+[79]MACRO!$H$472</f>
        <v>0.43837738037109375</v>
      </c>
      <c r="CD24" s="416">
        <f>+[80]MACRO!$H$472</f>
        <v>0.30027008056640625</v>
      </c>
      <c r="CE24" s="314">
        <f>+[81]MACRO!$H$472</f>
        <v>0.3176727294921875</v>
      </c>
      <c r="CF24" s="416">
        <f>+[82]MACRO!$H$472</f>
        <v>0.37497711181640625</v>
      </c>
      <c r="CG24" s="314">
        <f>+[83]MACRO!$H$472</f>
        <v>8.370208740234375E-2</v>
      </c>
      <c r="CH24" s="314">
        <f>+[84]MACRO!$H$472</f>
        <v>0.3704681396484375</v>
      </c>
      <c r="CI24" s="314">
        <f>+[85]MACRO!$H$472</f>
        <v>0.11737060546875</v>
      </c>
      <c r="CJ24" s="314">
        <f>+[86]MACRO!$H$472</f>
        <v>0.21288299560546875</v>
      </c>
      <c r="CK24" s="314">
        <f>+[87]MACRO!$H$473</f>
        <v>76864712.596755981</v>
      </c>
      <c r="CL24" s="632">
        <f>+[88]MACRO!$H$473</f>
        <v>0.25766754150390625</v>
      </c>
      <c r="CM24" s="653">
        <f>+[89]MACRO!$H$473</f>
        <v>6.285858154296875E-2</v>
      </c>
      <c r="CN24" s="653">
        <v>59674.575930174418</v>
      </c>
      <c r="CO24" s="653">
        <v>57933.897321517827</v>
      </c>
      <c r="CP24" s="684">
        <f>+[90]MACRO!$H$473</f>
        <v>0.514251708984375</v>
      </c>
      <c r="CQ24" s="684">
        <f>+[91]MACRO!$H$473</f>
        <v>57272.583604808242</v>
      </c>
      <c r="CR24" s="632">
        <f>+[92]MACRO!$H$473</f>
        <v>57778.740072339337</v>
      </c>
      <c r="CS24" s="684">
        <f>+[93]MACRO!$H$474</f>
        <v>57714.220391912349</v>
      </c>
      <c r="CT24" s="694">
        <v>58538.723864955493</v>
      </c>
      <c r="CU24" s="684">
        <f>[94]MACRO!$H$474</f>
        <v>58494.781795643517</v>
      </c>
      <c r="CV24" s="684">
        <f>[95]MACRO!$H$480</f>
        <v>57913.366447426932</v>
      </c>
      <c r="CW24" s="684">
        <f>[96]MACRO!$H$480</f>
        <v>63139.495371858182</v>
      </c>
      <c r="CX24" s="684">
        <f>[97]MACRO!$H$480</f>
        <v>58520.639442832107</v>
      </c>
      <c r="CY24" s="632">
        <f>[98]MACRO!$H$480</f>
        <v>57957.263004208711</v>
      </c>
      <c r="CZ24" s="632">
        <f>[99]MACRO!$H$480</f>
        <v>55134.025095758581</v>
      </c>
      <c r="DA24" s="684">
        <f>[100]MACRO!$H$480</f>
        <v>54027.591498366703</v>
      </c>
      <c r="DB24" s="684">
        <f>[101]MACRO!$H$480</f>
        <v>56458.957319403678</v>
      </c>
      <c r="DC24" s="684">
        <f>[102]MACRO!$H$480</f>
        <v>58887.261795546787</v>
      </c>
      <c r="DD24" s="684">
        <f>[103]MACRO!$H$480</f>
        <v>58553.422854152101</v>
      </c>
      <c r="DE24" s="684">
        <f>[104]MACRO!$H$480</f>
        <v>60585.434371641983</v>
      </c>
      <c r="DF24" s="662">
        <f>[105]MACRO!$H$480</f>
        <v>60413.108369605623</v>
      </c>
      <c r="DG24" s="684">
        <f>[106]MACRO!$H$480</f>
        <v>59784.243874124484</v>
      </c>
      <c r="DH24" s="684">
        <f>[107]MACRO!$H$480</f>
        <v>58891.75231276454</v>
      </c>
      <c r="DI24" s="662">
        <f>[108]MACRO!$H$480</f>
        <v>59339.13359270597</v>
      </c>
      <c r="DJ24" s="662">
        <f>[109]MACRO!$H$480</f>
        <v>58595.178058172183</v>
      </c>
      <c r="DK24" s="662">
        <f>[110]MACRO!$H$480</f>
        <v>58573.242351338587</v>
      </c>
      <c r="DL24" s="662">
        <f>[111]MACRO!$H$480</f>
        <v>59464.875018305596</v>
      </c>
      <c r="DM24" s="662">
        <f>[112]MACRO!$H$480</f>
        <v>60840.979659488141</v>
      </c>
      <c r="DN24" s="331">
        <f>DM24-DH24</f>
        <v>1949.2273467236009</v>
      </c>
      <c r="DO24" s="715">
        <f>(+(DM24/DH24-1))*100</f>
        <v>3.3098477633533019</v>
      </c>
      <c r="DP24" s="458"/>
      <c r="DQ24" s="703"/>
      <c r="DR24" s="269"/>
    </row>
    <row r="25" spans="1:125" x14ac:dyDescent="0.25">
      <c r="A25" s="204"/>
      <c r="B25" s="90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f>-[20]MACRO!$H$758</f>
        <v>18102.7542961</v>
      </c>
      <c r="V25" s="223">
        <f>-[21]MACRO!$H$758</f>
        <v>18598.362352259999</v>
      </c>
      <c r="W25" s="223">
        <f>-[22]MACRO!$H$760</f>
        <v>19111.73186009</v>
      </c>
      <c r="X25" s="223">
        <f>-[23]MACRO!$H$760</f>
        <v>19273.531734020002</v>
      </c>
      <c r="Y25" s="223">
        <f>-[24]MACRO!$H$760</f>
        <v>19243.647425389998</v>
      </c>
      <c r="Z25" s="223">
        <f>-[25]MACRO!$H$765</f>
        <v>19374.36654173</v>
      </c>
      <c r="AA25" s="223">
        <f>-[26]MACRO!$H$765</f>
        <v>19720.61379911</v>
      </c>
      <c r="AB25" s="223">
        <f>-[27]MACRO!$H$765</f>
        <v>20284.401278249999</v>
      </c>
      <c r="AC25" s="223">
        <f>-[28]MACRO!$H$765</f>
        <v>24585.622267570001</v>
      </c>
      <c r="AD25" s="223">
        <f>-[29]MACRO!$H$765</f>
        <v>23610.75446086</v>
      </c>
      <c r="AE25" s="223">
        <f>-[30]MACRO!$H$765</f>
        <v>23358.59828613</v>
      </c>
      <c r="AF25" s="223">
        <f>-[31]MACRO!$H$773</f>
        <v>23139.315299330003</v>
      </c>
      <c r="AG25" s="223">
        <f>-[32]MACRO!$H$773</f>
        <v>23402.080371930002</v>
      </c>
      <c r="AH25" s="223">
        <f>-[33]MACRO!$H$773</f>
        <v>23750.031313169999</v>
      </c>
      <c r="AI25" s="223">
        <f>-[34]MACRO!$H$773</f>
        <v>24643.468506500001</v>
      </c>
      <c r="AJ25" s="223">
        <f>-[35]MACRO!$H$773</f>
        <v>25057.120629689998</v>
      </c>
      <c r="AK25" s="223">
        <f>-[36]MACRO!$H$775</f>
        <v>25377.25269935</v>
      </c>
      <c r="AL25" s="223">
        <f>-[37]MACRO!$H$775</f>
        <v>25704.845640889998</v>
      </c>
      <c r="AM25" s="223">
        <f>-[38]MACRO!$H$775</f>
        <v>26070.208207840002</v>
      </c>
      <c r="AN25" s="223">
        <f>-[39]MACRO!$H$775</f>
        <v>26355.467033959998</v>
      </c>
      <c r="AO25" s="223">
        <f>-[40]MACRO!$H$775</f>
        <v>28585.08716164</v>
      </c>
      <c r="AP25" s="223">
        <f>-[41]MACRO!$H$775</f>
        <v>27904.261643500002</v>
      </c>
      <c r="AQ25" s="223">
        <f>-[42]MACRO!$H$775</f>
        <v>27651.922542569999</v>
      </c>
      <c r="AR25" s="223">
        <f>-[43]MACRO!$H$775</f>
        <v>27218.263037979999</v>
      </c>
      <c r="AS25" s="223">
        <f>-[43]MACRO!$H$775</f>
        <v>27218.263037979999</v>
      </c>
      <c r="AT25" s="223">
        <f>-[44]MACRO!$H$775</f>
        <v>27520.15649094</v>
      </c>
      <c r="AU25" s="314">
        <f>-[45]MACRO!$H$775</f>
        <v>28361.012891549999</v>
      </c>
      <c r="AV25" s="330">
        <f>-[46]MACRO!$H$775</f>
        <v>28505.503548820001</v>
      </c>
      <c r="AW25" s="223">
        <f>-[47]MACRO!$H$775</f>
        <v>28584.619925939998</v>
      </c>
      <c r="AX25" s="223">
        <f>-[48]MACRO!$H$775</f>
        <v>29033.313723990002</v>
      </c>
      <c r="AY25" s="223">
        <f>-[49]MACRO!$H$775</f>
        <v>29535.500998900003</v>
      </c>
      <c r="AZ25" s="223">
        <f>-[50]MACRO!$H$775</f>
        <v>30131.992337290001</v>
      </c>
      <c r="BA25" s="223">
        <f>-[51]MACRO!$H$775</f>
        <v>32665.086160450002</v>
      </c>
      <c r="BB25" s="223">
        <f>-[52]MACRO!$H$775</f>
        <v>31825.354411959997</v>
      </c>
      <c r="BC25" s="223">
        <f>-[53]MACRO!$H$775</f>
        <v>31105.858646380002</v>
      </c>
      <c r="BD25" s="223">
        <f>-[54]MACRO!$H$775</f>
        <v>30802.19048116</v>
      </c>
      <c r="BE25" s="223">
        <f>-[55]MACRO!$H$775</f>
        <v>30829.345512419997</v>
      </c>
      <c r="BF25" s="223">
        <f>-[56]MACRO!$H$776</f>
        <v>31213.30397026</v>
      </c>
      <c r="BG25" s="371">
        <f>-[57]MACRO!$H$778</f>
        <v>31641.167205549998</v>
      </c>
      <c r="BH25" s="371">
        <f>-[58]MACRO!$H$778</f>
        <v>31888.061633040001</v>
      </c>
      <c r="BI25" s="314">
        <f>-[59]MACRO!$H$778</f>
        <v>31958.471105610002</v>
      </c>
      <c r="BJ25" s="223">
        <f>-[60]MACRO!$H$785</f>
        <v>32333.088900520001</v>
      </c>
      <c r="BK25" s="223">
        <f>-[61]MACRO!$H$787</f>
        <v>32726.848775180002</v>
      </c>
      <c r="BL25" s="374">
        <f>-[62]MACRO!$H$787</f>
        <v>33376.52294907</v>
      </c>
      <c r="BM25" s="223">
        <f>-[63]MACRO!$H$788</f>
        <v>37001.012189349996</v>
      </c>
      <c r="BN25" s="314">
        <f>-[64]MACRO!$H$788</f>
        <v>35908.594242320003</v>
      </c>
      <c r="BO25" s="314">
        <f>-[65]MACRO!$H$788</f>
        <v>35170.474726610002</v>
      </c>
      <c r="BP25" s="314">
        <f>-[66]MACRO!$H$788</f>
        <v>34508.930251170001</v>
      </c>
      <c r="BQ25" s="314">
        <f>-[67]MACRO!$H$788</f>
        <v>34555.717835570002</v>
      </c>
      <c r="BR25" s="314">
        <f>-[68]MACRO!$H$788</f>
        <v>34634.109018330004</v>
      </c>
      <c r="BS25" s="408">
        <f>-[69]MACRO!$H$790</f>
        <v>35280.659298040002</v>
      </c>
      <c r="BT25" s="314">
        <f>-[70]MACRO!$H$790</f>
        <v>35344.692928870005</v>
      </c>
      <c r="BU25" s="416">
        <f>-[71]MACRO!$H$790</f>
        <v>35635.031122339999</v>
      </c>
      <c r="BV25" s="416">
        <f>-+[72]MACRO!$H$790</f>
        <v>0</v>
      </c>
      <c r="BW25" s="416">
        <f>-+[73]MACRO!$H$790</f>
        <v>0</v>
      </c>
      <c r="BX25" s="416">
        <f>-+[74]MACRO!$H$790</f>
        <v>0</v>
      </c>
      <c r="BY25" s="314">
        <f>-+[75]MACRO!$H$790</f>
        <v>0</v>
      </c>
      <c r="BZ25" s="416">
        <f>-+[76]MACRO!$H$790</f>
        <v>15.535079442399999</v>
      </c>
      <c r="CA25" s="416">
        <f>-+[77]MACRO!$H$793</f>
        <v>0</v>
      </c>
      <c r="CB25" s="314">
        <f>-+[78]MACRO!$H$794</f>
        <v>0</v>
      </c>
      <c r="CC25" s="416">
        <f>-+[79]MACRO!$H$794</f>
        <v>0</v>
      </c>
      <c r="CD25" s="416">
        <f>-+[80]MACRO!$H$794</f>
        <v>0</v>
      </c>
      <c r="CE25" s="314">
        <f>-+[81]MACRO!$H$794</f>
        <v>0</v>
      </c>
      <c r="CF25" s="416">
        <f>-+[82]MACRO!$H$794</f>
        <v>0</v>
      </c>
      <c r="CG25" s="314">
        <f>-+[83]MACRO!$H$794</f>
        <v>0</v>
      </c>
      <c r="CH25" s="314">
        <f>-+[84]MACRO!$H$794</f>
        <v>0</v>
      </c>
      <c r="CI25" s="314">
        <f>-+[85]MACRO!$H$794</f>
        <v>0</v>
      </c>
      <c r="CJ25" s="314">
        <f>-+[86]MACRO!$H$794</f>
        <v>0</v>
      </c>
      <c r="CK25" s="314">
        <f>-+[87]MACRO!$H$795</f>
        <v>0</v>
      </c>
      <c r="CL25" s="632">
        <f>-(+[88]MACRO!$H$795)</f>
        <v>0</v>
      </c>
      <c r="CM25" s="653">
        <f>-+[89]MACRO!$H$795</f>
        <v>0</v>
      </c>
      <c r="CN25" s="653">
        <v>39151.185397690002</v>
      </c>
      <c r="CO25" s="653">
        <v>39269.468627790004</v>
      </c>
      <c r="CP25" s="684">
        <f>-[90]MACRO!$H$795</f>
        <v>0</v>
      </c>
      <c r="CQ25" s="684">
        <f>-[91]MACRO!$H$795</f>
        <v>39483.083052790003</v>
      </c>
      <c r="CR25" s="632">
        <f>-[92]MACRO!$H$795</f>
        <v>39461.471881789999</v>
      </c>
      <c r="CS25" s="684">
        <f>-[93]MACRO!$H$796</f>
        <v>39435.987517089998</v>
      </c>
      <c r="CT25" s="694">
        <v>39426.338544689999</v>
      </c>
      <c r="CU25" s="684">
        <f>-[94]MACRO!$H$796</f>
        <v>40028.206271989999</v>
      </c>
      <c r="CV25" s="684">
        <f>-[95]MACRO!$H$805</f>
        <v>40347.942489199995</v>
      </c>
      <c r="CW25" s="684">
        <f>-[96]MACRO!$H$805</f>
        <v>43144.7282987</v>
      </c>
      <c r="CX25" s="684">
        <f>-[97]MACRO!$H$805</f>
        <v>42253.187647699997</v>
      </c>
      <c r="CY25" s="632">
        <f>-[98]MACRO!$H$805</f>
        <v>41712.531907800003</v>
      </c>
      <c r="CZ25" s="632">
        <f>-[99]MACRO!$H$805</f>
        <v>40597.346280400001</v>
      </c>
      <c r="DA25" s="684">
        <f>-[100]MACRO!$H$805</f>
        <v>40315.357887400001</v>
      </c>
      <c r="DB25" s="684">
        <f>-[101]MACRO!$H$805</f>
        <v>39678.108934699994</v>
      </c>
      <c r="DC25" s="684">
        <f>-[102]MACRO!$H$805</f>
        <v>40427.888099410004</v>
      </c>
      <c r="DD25" s="684">
        <f>-[103]MACRO!$H$805</f>
        <v>40745.922345410007</v>
      </c>
      <c r="DE25" s="684">
        <f>-[104]MACRO!$H$805</f>
        <v>41325.289560510006</v>
      </c>
      <c r="DF25" s="662">
        <f>-[105]MACRO!$H$805</f>
        <v>41526.362898109997</v>
      </c>
      <c r="DG25" s="684">
        <f>-[106]MACRO!$H$805</f>
        <v>41218.210395410002</v>
      </c>
      <c r="DH25" s="684">
        <f>-[107]MACRO!$H$805</f>
        <v>40966.954748309996</v>
      </c>
      <c r="DI25" s="662">
        <f>-[108]MACRO!$H$805</f>
        <v>40959.869937809999</v>
      </c>
      <c r="DJ25" s="662">
        <f>-[109]MACRO!$H$805</f>
        <v>40921.763613210001</v>
      </c>
      <c r="DK25" s="662">
        <f>-[110]MACRO!$H$805</f>
        <v>40867.184950410003</v>
      </c>
      <c r="DL25" s="662">
        <f>-[111]MACRO!$H$805</f>
        <v>40841.309307910007</v>
      </c>
      <c r="DM25" s="662">
        <f>-[112]MACRO!$H$805</f>
        <v>40949.641623110001</v>
      </c>
      <c r="DN25" s="331">
        <f>DM25-DH25</f>
        <v>-17.313125199994829</v>
      </c>
      <c r="DO25" s="715">
        <f>(+(DM25/DH25-1))*100</f>
        <v>-4.2261196387094468E-2</v>
      </c>
      <c r="DP25" s="458"/>
      <c r="DQ25" s="703"/>
      <c r="DR25" s="269"/>
    </row>
    <row r="26" spans="1:125" x14ac:dyDescent="0.25">
      <c r="A26" s="204"/>
      <c r="B26" s="90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f>+[20]MACRO!$H$475</f>
        <v>-40725.721875145755</v>
      </c>
      <c r="V26" s="223">
        <f>+[21]MACRO!$H$475</f>
        <v>-40337.81012964726</v>
      </c>
      <c r="W26" s="223">
        <f>+[22]MACRO!$H$477</f>
        <v>-40393.376146655639</v>
      </c>
      <c r="X26" s="223">
        <f>+[23]MACRO!$H$477</f>
        <v>-40786.054479408231</v>
      </c>
      <c r="Y26" s="223">
        <f>+[24]MACRO!$H$477</f>
        <v>-41654.468781513388</v>
      </c>
      <c r="Z26" s="223">
        <f>+[25]MACRO!$H$480</f>
        <v>-43763.135008598176</v>
      </c>
      <c r="AA26" s="223">
        <f>+[26]MACRO!$H$480</f>
        <v>-44456.948586455765</v>
      </c>
      <c r="AB26" s="223">
        <f>+[27]MACRO!$H$480</f>
        <v>-44259.691304114895</v>
      </c>
      <c r="AC26" s="223">
        <f>+[28]MACRO!$H$480</f>
        <v>-42938.181556930314</v>
      </c>
      <c r="AD26" s="223">
        <f>+[29]MACRO!$H$480</f>
        <v>-45901.140750460218</v>
      </c>
      <c r="AE26" s="223">
        <f>+[30]MACRO!$H$480</f>
        <v>-48312.242030117974</v>
      </c>
      <c r="AF26" s="223">
        <f>+[31]MACRO!$H$488</f>
        <v>-49213.248066820343</v>
      </c>
      <c r="AG26" s="223">
        <f>+[32]MACRO!$H$488</f>
        <v>-50678.862959427162</v>
      </c>
      <c r="AH26" s="223">
        <f>+[33]MACRO!$H$488</f>
        <v>-49812.623303278691</v>
      </c>
      <c r="AI26" s="223">
        <f>+[34]MACRO!$H$488</f>
        <v>-49325.781787705811</v>
      </c>
      <c r="AJ26" s="223">
        <f>+[35]MACRO!$H$488</f>
        <v>-50765.833533730947</v>
      </c>
      <c r="AK26" s="223">
        <f>+[36]MACRO!$H$490</f>
        <v>-54535.029617007371</v>
      </c>
      <c r="AL26" s="223">
        <f>+[37]MACRO!$H$490</f>
        <v>-52669.107745117784</v>
      </c>
      <c r="AM26" s="223">
        <f>+[38]MACRO!$H$490</f>
        <v>-55701.044226470614</v>
      </c>
      <c r="AN26" s="223">
        <f>+[39]MACRO!$H$490</f>
        <v>-56751.641763571315</v>
      </c>
      <c r="AO26" s="223">
        <f>+[40]MACRO!$H$490</f>
        <v>-53862.153016766635</v>
      </c>
      <c r="AP26" s="223">
        <f>+[41]MACRO!$H$490</f>
        <v>-57769.8499961743</v>
      </c>
      <c r="AQ26" s="223">
        <f>+[42]MACRO!$H$490</f>
        <v>-59738.430211019026</v>
      </c>
      <c r="AR26" s="223">
        <f>+[43]MACRO!$H$490</f>
        <v>-60223.761023498584</v>
      </c>
      <c r="AS26" s="223">
        <f>+[43]MACRO!$H$490</f>
        <v>-60223.761023498584</v>
      </c>
      <c r="AT26" s="223">
        <f>+[44]MACRO!$H$490</f>
        <v>-57693.920501219334</v>
      </c>
      <c r="AU26" s="314">
        <f>+[45]MACRO!$H$490</f>
        <v>-56975.733137620555</v>
      </c>
      <c r="AV26" s="330">
        <f>+[46]MACRO!$H$490</f>
        <v>-58945.687472738617</v>
      </c>
      <c r="AW26" s="223">
        <f>+[47]MACRO!$H$490</f>
        <v>-61032.358741471253</v>
      </c>
      <c r="AX26" s="223">
        <f>+[48]MACRO!$H$490</f>
        <v>-63022.789226928377</v>
      </c>
      <c r="AY26" s="223">
        <f>+[49]MACRO!$H$490</f>
        <v>-64938.716468228835</v>
      </c>
      <c r="AZ26" s="223">
        <f>+[50]MACRO!$H$490</f>
        <v>-65398.945782221133</v>
      </c>
      <c r="BA26" s="223">
        <f>+[51]MACRO!$H$490</f>
        <v>-62872.216313078694</v>
      </c>
      <c r="BB26" s="223">
        <f>+[52]MACRO!$H$490</f>
        <v>-64550.757844114705</v>
      </c>
      <c r="BC26" s="223">
        <f>+[53]MACRO!$H$490</f>
        <v>-65624.384177470201</v>
      </c>
      <c r="BD26" s="223">
        <f>+[54]MACRO!$H$490</f>
        <v>-66525.27326386956</v>
      </c>
      <c r="BE26" s="223">
        <f>+[55]MACRO!$H$490</f>
        <v>-66625.615153915016</v>
      </c>
      <c r="BF26" s="223">
        <f>+[56]MACRO!$H$491</f>
        <v>-64879.032880982537</v>
      </c>
      <c r="BG26" s="371">
        <f>+[57]MACRO!$H$492</f>
        <v>-64067.514772103619</v>
      </c>
      <c r="BH26" s="371">
        <f>+[58]MACRO!$H$492</f>
        <v>-66282.880942301694</v>
      </c>
      <c r="BI26" s="314">
        <f>+[59]MACRO!$H$492</f>
        <v>-66834.390144024423</v>
      </c>
      <c r="BJ26" s="223">
        <f>+[60]MACRO!$H$495</f>
        <v>-67257.32114892808</v>
      </c>
      <c r="BK26" s="223">
        <f>+[61]MACRO!$H$497</f>
        <v>-65027.991334582759</v>
      </c>
      <c r="BL26" s="374">
        <f>+[62]MACRO!$H$497</f>
        <v>-64228.712436513662</v>
      </c>
      <c r="BM26" s="223">
        <f>+[63]MACRO!$H$498</f>
        <v>-61989.77955595086</v>
      </c>
      <c r="BN26" s="314">
        <f>+[64]MACRO!$H$498</f>
        <v>-63694.572215758635</v>
      </c>
      <c r="BO26" s="314">
        <f>+[65]MACRO!$H$498</f>
        <v>-64695.313957981081</v>
      </c>
      <c r="BP26" s="314">
        <f>+[66]MACRO!$H$498</f>
        <v>-64896.284958885997</v>
      </c>
      <c r="BQ26" s="314">
        <f>+[67]MACRO!$H$498</f>
        <v>-65140.840120823574</v>
      </c>
      <c r="BR26" s="314">
        <f>+[68]MACRO!$H$498</f>
        <v>-65115.007822482745</v>
      </c>
      <c r="BS26" s="408">
        <f>+[69]MACRO!$H$500</f>
        <v>-66308.059794521148</v>
      </c>
      <c r="BT26" s="314">
        <f>+[70]MACRO!$H$500</f>
        <v>-66686.713396128602</v>
      </c>
      <c r="BU26" s="416">
        <f>+[71]MACRO!$H$500</f>
        <v>-69975.856252409969</v>
      </c>
      <c r="BV26" s="416">
        <f>++[72]MACRO!$H$500</f>
        <v>0</v>
      </c>
      <c r="BW26" s="416">
        <f>++[73]MACRO!$H$500</f>
        <v>0</v>
      </c>
      <c r="BX26" s="416">
        <f>++[74]MACRO!$H$500</f>
        <v>0</v>
      </c>
      <c r="BY26" s="314">
        <f>++[75]MACRO!$H$500</f>
        <v>0</v>
      </c>
      <c r="BZ26" s="416">
        <f>++[76]MACRO!$H$500</f>
        <v>-1.0105248537999998</v>
      </c>
      <c r="CA26" s="416">
        <f>++[77]MACRO!$H$501</f>
        <v>0</v>
      </c>
      <c r="CB26" s="314">
        <f>++[78]MACRO!$H$502</f>
        <v>0</v>
      </c>
      <c r="CC26" s="416">
        <f>++[79]MACRO!$H$502</f>
        <v>0</v>
      </c>
      <c r="CD26" s="416">
        <f>++[80]MACRO!$H$502</f>
        <v>0</v>
      </c>
      <c r="CE26" s="314">
        <f>++[81]MACRO!$H$502</f>
        <v>0</v>
      </c>
      <c r="CF26" s="416">
        <f>++[82]MACRO!$H$502</f>
        <v>0</v>
      </c>
      <c r="CG26" s="314">
        <f>++[83]MACRO!$H$502</f>
        <v>0</v>
      </c>
      <c r="CH26" s="314">
        <f>++[84]MACRO!$H$502</f>
        <v>0</v>
      </c>
      <c r="CI26" s="314">
        <f>++[85]MACRO!$H$502</f>
        <v>0</v>
      </c>
      <c r="CJ26" s="314">
        <f>++[86]MACRO!$H$502</f>
        <v>0</v>
      </c>
      <c r="CK26" s="314">
        <f>++[87]MACRO!$H$503</f>
        <v>0</v>
      </c>
      <c r="CL26" s="632">
        <f>+[88]MACRO!$H$503</f>
        <v>0</v>
      </c>
      <c r="CM26" s="653">
        <f>++[89]MACRO!$H$503</f>
        <v>0</v>
      </c>
      <c r="CN26" s="653">
        <v>-46480.539488136805</v>
      </c>
      <c r="CO26" s="653">
        <v>-44650.567615949723</v>
      </c>
      <c r="CP26" s="684">
        <f>[90]MACRO!$H$503</f>
        <v>0</v>
      </c>
      <c r="CQ26" s="684">
        <f>[91]MACRO!$H$503</f>
        <v>-40154.577328311425</v>
      </c>
      <c r="CR26" s="632">
        <f>[92]MACRO!$H$503</f>
        <v>-39770.96991646169</v>
      </c>
      <c r="CS26" s="684">
        <f>[93]MACRO!$H$504</f>
        <v>-37797.531212909278</v>
      </c>
      <c r="CT26" s="694">
        <v>-36299.992402893055</v>
      </c>
      <c r="CU26" s="684">
        <f>[94]MACRO!$H$504</f>
        <v>-33334.603343671748</v>
      </c>
      <c r="CV26" s="684">
        <f>[95]MACRO!$H$510</f>
        <v>-30674.418702325333</v>
      </c>
      <c r="CW26" s="684">
        <f>[96]MACRO!$H$510</f>
        <v>-26010.657909970621</v>
      </c>
      <c r="CX26" s="684">
        <f>[97]MACRO!$H$510</f>
        <v>-25240.010465296018</v>
      </c>
      <c r="CY26" s="632">
        <f>[98]MACRO!$H$510</f>
        <v>-25548.553991914014</v>
      </c>
      <c r="CZ26" s="632">
        <f>[99]MACRO!$H$510</f>
        <v>-29791.891118109015</v>
      </c>
      <c r="DA26" s="684">
        <f>[100]MACRO!$H$510</f>
        <v>-28457.477798470307</v>
      </c>
      <c r="DB26" s="684">
        <f>[101]MACRO!$H$510</f>
        <v>-30662.131228143819</v>
      </c>
      <c r="DC26" s="684">
        <f>[102]MACRO!$H$510</f>
        <v>-30269.504639991239</v>
      </c>
      <c r="DD26" s="684">
        <f>[103]MACRO!$H$510</f>
        <v>-30308.960537278384</v>
      </c>
      <c r="DE26" s="684">
        <f>[104]MACRO!$H$510</f>
        <v>-29687.671887737513</v>
      </c>
      <c r="DF26" s="662">
        <f>[105]MACRO!$H$510</f>
        <v>-29890.888548851162</v>
      </c>
      <c r="DG26" s="684">
        <f>[106]MACRO!$H$510</f>
        <v>-30474.883342817098</v>
      </c>
      <c r="DH26" s="684">
        <f>[107]MACRO!$H$510</f>
        <v>-30568.643245326457</v>
      </c>
      <c r="DI26" s="662">
        <f>[108]MACRO!$H$510</f>
        <v>-30636.511749227448</v>
      </c>
      <c r="DJ26" s="662">
        <f>[109]MACRO!$H$510</f>
        <v>-31078.684584191047</v>
      </c>
      <c r="DK26" s="662">
        <f>[110]MACRO!$H$510</f>
        <v>-31082.642830740911</v>
      </c>
      <c r="DL26" s="662">
        <f>[111]MACRO!$H$510</f>
        <v>-30860.724551664298</v>
      </c>
      <c r="DM26" s="662">
        <f>[112]MACRO!$H$510</f>
        <v>-30698.729696106318</v>
      </c>
      <c r="DN26" s="331">
        <f>DM26-DH26</f>
        <v>-130.08645077986148</v>
      </c>
      <c r="DO26" s="715">
        <f>(+(DM26/DH26-1))*100</f>
        <v>0.42555519960720822</v>
      </c>
      <c r="DP26" s="458"/>
      <c r="DQ26" s="703"/>
      <c r="DR26" s="269"/>
    </row>
    <row r="27" spans="1:125" x14ac:dyDescent="0.25">
      <c r="A27" s="204"/>
      <c r="B27" s="90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f>+[20]MACRO!$H$477</f>
        <v>-14535.737468911831</v>
      </c>
      <c r="V27" s="223">
        <f>+[21]MACRO!$H$477</f>
        <v>-14921.374404462185</v>
      </c>
      <c r="W27" s="223">
        <f>+[22]MACRO!$H$479</f>
        <v>-16051.877890473672</v>
      </c>
      <c r="X27" s="223">
        <f>+[23]MACRO!$H$479</f>
        <v>-17451.955823853175</v>
      </c>
      <c r="Y27" s="223">
        <f>+[24]MACRO!$H$479</f>
        <v>-18695.844246511424</v>
      </c>
      <c r="Z27" s="223">
        <f>+[25]MACRO!$H$482</f>
        <v>-19622.556781357227</v>
      </c>
      <c r="AA27" s="223">
        <f>+[26]MACRO!$H$482</f>
        <v>-20206.230807064483</v>
      </c>
      <c r="AB27" s="223">
        <f>+[27]MACRO!$H$482</f>
        <v>-20380.590815921831</v>
      </c>
      <c r="AC27" s="223">
        <f>+[28]MACRO!$H$482</f>
        <v>-19033.717018390915</v>
      </c>
      <c r="AD27" s="223">
        <f>+[29]MACRO!$H$482</f>
        <v>-20395.683250635</v>
      </c>
      <c r="AE27" s="223">
        <f>+[30]MACRO!$H$482</f>
        <v>-21398.482908853341</v>
      </c>
      <c r="AF27" s="223">
        <f>+[31]MACRO!$H$490</f>
        <v>-20515.376437737094</v>
      </c>
      <c r="AG27" s="223">
        <f>+[32]MACRO!$H$490</f>
        <v>-22720.668638767067</v>
      </c>
      <c r="AH27" s="223">
        <f>+[33]MACRO!$H$490</f>
        <v>-24039.985288323489</v>
      </c>
      <c r="AI27" s="223">
        <f>+[34]MACRO!$H$490</f>
        <v>-23153.205909382435</v>
      </c>
      <c r="AJ27" s="223">
        <f>+[35]MACRO!$H$490</f>
        <v>-24583.659881486485</v>
      </c>
      <c r="AK27" s="223">
        <f>+[36]MACRO!$H$492</f>
        <v>-25793.166578529057</v>
      </c>
      <c r="AL27" s="223">
        <f>+[37]MACRO!$H$492</f>
        <v>-26182.201187179729</v>
      </c>
      <c r="AM27" s="223">
        <f>+[38]MACRO!$H$492</f>
        <v>-26496.70745701719</v>
      </c>
      <c r="AN27" s="223">
        <f>+[39]MACRO!$H$492</f>
        <v>-25953.885438716748</v>
      </c>
      <c r="AO27" s="223">
        <f>+[40]MACRO!$H$492</f>
        <v>-23173.066224700859</v>
      </c>
      <c r="AP27" s="223">
        <f>+[41]MACRO!$H$492</f>
        <v>-26541.033333331314</v>
      </c>
      <c r="AQ27" s="223">
        <f>+[42]MACRO!$H$492</f>
        <v>-27446.881256662626</v>
      </c>
      <c r="AR27" s="223">
        <f>+[43]MACRO!$H$492</f>
        <v>-27543.760398590322</v>
      </c>
      <c r="AS27" s="223">
        <f>+[43]MACRO!$H$492</f>
        <v>-27543.760398590322</v>
      </c>
      <c r="AT27" s="223">
        <f>+[44]MACRO!$H$492</f>
        <v>-29605.296675278201</v>
      </c>
      <c r="AU27" s="314">
        <f>+[45]MACRO!$H$492</f>
        <v>-29131.072663441082</v>
      </c>
      <c r="AV27" s="330">
        <f>+[46]MACRO!$H$492</f>
        <v>-31072.632851696399</v>
      </c>
      <c r="AW27" s="223">
        <f>+[47]MACRO!$H$492</f>
        <v>-32641.457819049901</v>
      </c>
      <c r="AX27" s="223">
        <f>+[48]MACRO!$H$492</f>
        <v>-31624.133640066389</v>
      </c>
      <c r="AY27" s="223">
        <f>+[49]MACRO!$H$492</f>
        <v>-35032.5816729574</v>
      </c>
      <c r="AZ27" s="223">
        <f>+[50]MACRO!$H$492</f>
        <v>-34484.140394999115</v>
      </c>
      <c r="BA27" s="223">
        <f>+[51]MACRO!$H$492</f>
        <v>-29315.840023017481</v>
      </c>
      <c r="BB27" s="223">
        <f>+[52]MACRO!$H$492</f>
        <v>-31541.942415822032</v>
      </c>
      <c r="BC27" s="223">
        <f>+[53]MACRO!$H$492</f>
        <v>-33255.567901084709</v>
      </c>
      <c r="BD27" s="223">
        <f>+[54]MACRO!$H$492</f>
        <v>-34246.472273750573</v>
      </c>
      <c r="BE27" s="223">
        <f>+[55]MACRO!$H$492</f>
        <v>-36347.891468227179</v>
      </c>
      <c r="BF27" s="223">
        <f>+[56]MACRO!$H$493</f>
        <v>-36985.8815015625</v>
      </c>
      <c r="BG27" s="371">
        <f>+[57]MACRO!$H$494</f>
        <v>-35653.62847587213</v>
      </c>
      <c r="BH27" s="371">
        <f>+[58]MACRO!$H$494</f>
        <v>-37909.190004581549</v>
      </c>
      <c r="BI27" s="314">
        <f>+[59]MACRO!$H$494</f>
        <v>-41299.918654736801</v>
      </c>
      <c r="BJ27" s="223">
        <f>+[60]MACRO!$H$497</f>
        <v>-41345.434098601705</v>
      </c>
      <c r="BK27" s="223">
        <f>+[61]MACRO!$H$499</f>
        <v>-41671.917323780086</v>
      </c>
      <c r="BL27" s="374">
        <f>+[62]MACRO!$H$499</f>
        <v>-41205.002824314797</v>
      </c>
      <c r="BM27" s="223">
        <f>+[63]MACRO!$H$500</f>
        <v>-33813.097812691674</v>
      </c>
      <c r="BN27" s="314">
        <f>+[64]MACRO!$H$500</f>
        <v>-35379.873657794473</v>
      </c>
      <c r="BO27" s="314">
        <f>+[65]MACRO!$H$500</f>
        <v>-35909.120431382136</v>
      </c>
      <c r="BP27" s="314">
        <f>+[66]MACRO!$H$500</f>
        <v>-37354.259685190009</v>
      </c>
      <c r="BQ27" s="314">
        <f>+[67]MACRO!$H$500</f>
        <v>-38644.746607878733</v>
      </c>
      <c r="BR27" s="314">
        <f>+[68]MACRO!$H$500</f>
        <v>-39922.86813474472</v>
      </c>
      <c r="BS27" s="408">
        <f>+[69]MACRO!$H$502</f>
        <v>-39064.965928607722</v>
      </c>
      <c r="BT27" s="314">
        <f>+[70]MACRO!$H$502</f>
        <v>-41939.025653690995</v>
      </c>
      <c r="BU27" s="416">
        <f>+[71]MACRO!$H$502</f>
        <v>-44207.526102950054</v>
      </c>
      <c r="BV27" s="416">
        <f>++[72]MACRO!$H$502</f>
        <v>-68744.612766179111</v>
      </c>
      <c r="BW27" s="416">
        <f>++[73]MACRO!$H$502</f>
        <v>-68916.057885444578</v>
      </c>
      <c r="BX27" s="416">
        <f>++[74]MACRO!$H$502</f>
        <v>-68511.081671989712</v>
      </c>
      <c r="BY27" s="314">
        <f>++[75]MACRO!$H$502</f>
        <v>-62371.181571876186</v>
      </c>
      <c r="BZ27" s="416">
        <f>++[76]MACRO!$H$502</f>
        <v>0</v>
      </c>
      <c r="CA27" s="416">
        <f>++[77]MACRO!$H$503</f>
        <v>0</v>
      </c>
      <c r="CB27" s="314">
        <f>++[78]MACRO!$H$504</f>
        <v>-64393.307691634778</v>
      </c>
      <c r="CC27" s="416">
        <f>++[79]MACRO!$H$504</f>
        <v>-63958.757084868026</v>
      </c>
      <c r="CD27" s="416">
        <f>++[80]MACRO!$H$504</f>
        <v>-62334.519483329743</v>
      </c>
      <c r="CE27" s="314">
        <f>++[81]MACRO!$H$504</f>
        <v>-62536.810570389527</v>
      </c>
      <c r="CF27" s="416">
        <f>++[82]MACRO!$H$504</f>
        <v>-61001.96543023803</v>
      </c>
      <c r="CG27" s="314">
        <f>++[83]MACRO!$H$504</f>
        <v>-60353.853098806503</v>
      </c>
      <c r="CH27" s="314">
        <f>++[84]MACRO!$H$504</f>
        <v>-59701.351525934311</v>
      </c>
      <c r="CI27" s="314">
        <f>++[85]MACRO!$H$504</f>
        <v>-57673.077465773837</v>
      </c>
      <c r="CJ27" s="314">
        <f>++[86]MACRO!$H$504</f>
        <v>-54156.628833257717</v>
      </c>
      <c r="CK27" s="314">
        <f>++[87]MACRO!$H$505</f>
        <v>-46563.571174940633</v>
      </c>
      <c r="CL27" s="632">
        <f>+[88]MACRO!$H$505</f>
        <v>-46544.133787802115</v>
      </c>
      <c r="CM27" s="653">
        <f>++[89]MACRO!$H$505</f>
        <v>-47463.14076422833</v>
      </c>
      <c r="CN27" s="653">
        <v>-19957.445178932117</v>
      </c>
      <c r="CO27" s="653">
        <v>-19968.056496929788</v>
      </c>
      <c r="CP27" s="684">
        <f>+[90]MACRO!$H$505</f>
        <v>-41245.249449274765</v>
      </c>
      <c r="CQ27" s="684">
        <f>+[91]MACRO!$H$505</f>
        <v>-16747.772520208971</v>
      </c>
      <c r="CR27" s="632">
        <f>+[92]MACRO!$H$505</f>
        <v>-18024.699476287533</v>
      </c>
      <c r="CS27" s="684">
        <f>+[93]MACRO!$H$506</f>
        <v>-16663.921395537138</v>
      </c>
      <c r="CT27" s="694">
        <v>-15085.995156880133</v>
      </c>
      <c r="CU27" s="684">
        <f>[94]MACRO!$H$506</f>
        <v>-13282.205899796347</v>
      </c>
      <c r="CV27" s="684">
        <f>[95]MACRO!$H$512</f>
        <v>-11924.63224701061</v>
      </c>
      <c r="CW27" s="684">
        <f>[96]MACRO!$H$512</f>
        <v>-5321.267392375471</v>
      </c>
      <c r="CX27" s="684">
        <f>[97]MACRO!$H$512</f>
        <v>-6411.5557150389077</v>
      </c>
      <c r="CY27" s="632">
        <f>[98]MACRO!$H$512</f>
        <v>-6040.0740864734644</v>
      </c>
      <c r="CZ27" s="632">
        <f>[99]MACRO!$H$512</f>
        <v>-12531.037347315965</v>
      </c>
      <c r="DA27" s="684">
        <f>[100]MACRO!$H$512</f>
        <v>-14018.335236645717</v>
      </c>
      <c r="DB27" s="684">
        <f>[101]MACRO!$H$512</f>
        <v>-14471.898039667671</v>
      </c>
      <c r="DC27" s="684">
        <f>[102]MACRO!$H$512</f>
        <v>-12802.391873709739</v>
      </c>
      <c r="DD27" s="684">
        <f>[103]MACRO!$H$512</f>
        <v>-12825.424935390374</v>
      </c>
      <c r="DE27" s="684">
        <f>[104]MACRO!$H$512</f>
        <v>-10686.770299663071</v>
      </c>
      <c r="DF27" s="662">
        <f>[105]MACRO!$H$512</f>
        <v>-11199.421095438231</v>
      </c>
      <c r="DG27" s="684">
        <f>[106]MACRO!$H$512</f>
        <v>-12028.655449990272</v>
      </c>
      <c r="DH27" s="684">
        <f>[107]MACRO!$H$512</f>
        <v>-12782.195526054535</v>
      </c>
      <c r="DI27" s="662">
        <f>[108]MACRO!$H$512</f>
        <v>-12254.70482186622</v>
      </c>
      <c r="DJ27" s="662">
        <f>[109]MACRO!$H$512</f>
        <v>-13102.786651295504</v>
      </c>
      <c r="DK27" s="662">
        <f>[110]MACRO!$H$512</f>
        <v>-13096.051294956731</v>
      </c>
      <c r="DL27" s="662">
        <f>[111]MACRO!$H$512</f>
        <v>-12367.107188315655</v>
      </c>
      <c r="DM27" s="662">
        <f>[112]MACRO!$H$512</f>
        <v>-10260.76266594807</v>
      </c>
      <c r="DN27" s="331">
        <f>DM27-DH27</f>
        <v>2521.4328601064644</v>
      </c>
      <c r="DO27" s="715">
        <f>(+(DM27/DH27-1))*100</f>
        <v>-19.726132767777749</v>
      </c>
      <c r="DP27" s="458"/>
      <c r="DQ27" s="703"/>
      <c r="DR27" s="269"/>
    </row>
    <row r="28" spans="1:125" x14ac:dyDescent="0.25">
      <c r="A28" s="204"/>
      <c r="B28" s="90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f>+[113]MACRO!$H$574+[113]MACRO!$H$731</f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f>+[114]MACRO!$H$578+[114]MACRO!$H$737</f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f>+[115]MACRO!$H$588+[115]MACRO!$H$747</f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f>+[116]MACRO!$H$588+[116]MACRO!$H$747</f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f>+[117]MACRO!$H$596+[117]MACRO!$H$759</f>
        <v>-21978.175368574506</v>
      </c>
      <c r="BN28" s="314">
        <f>+[118]MACRO!$H$596+[118]MACRO!$H$759</f>
        <v>-21899.347532715699</v>
      </c>
      <c r="BO28" s="314">
        <f>+[119]MACRO!$H$596+[119]MACRO!$H$759</f>
        <v>-21524.755149111817</v>
      </c>
      <c r="BP28" s="314">
        <f>+[120]MACRO!$H$596+[120]MACRO!$H$759</f>
        <v>-20337.046249140745</v>
      </c>
      <c r="BQ28" s="314">
        <f>+[121]MACRO!$H$596+[121]MACRO!$H$759</f>
        <v>-18227.915448961969</v>
      </c>
      <c r="BR28" s="314">
        <f>+[122]MACRO!$H$596+[122]MACRO!$H$759</f>
        <v>-16491.21990776289</v>
      </c>
      <c r="BS28" s="314">
        <f>+[123]MACRO!$H$598+[123]MACRO!$H$761</f>
        <v>-17883.826489443578</v>
      </c>
      <c r="BT28" s="314">
        <f>+[124]MACRO!$H$598+[124]MACRO!$H$761</f>
        <v>-15478.798465175698</v>
      </c>
      <c r="BU28" s="314">
        <f>+[125]MACRO!$H$598+[125]MACRO!$H$761</f>
        <v>-16562.838324485376</v>
      </c>
      <c r="BV28" s="314">
        <f>+[72]MACRO!$H$598+[72]MACRO!$H$761</f>
        <v>-18414.279004845906</v>
      </c>
      <c r="BW28" s="314">
        <f>+[73]MACRO!$H$598+[73]MACRO!$H$761</f>
        <v>-20399.761212355115</v>
      </c>
      <c r="BX28" s="314">
        <f>+[74]MACRO!$H$598+[74]MACRO!$H$761</f>
        <v>-21103.408625352844</v>
      </c>
      <c r="BY28" s="314">
        <f>+[75]MACRO!$H$598+[75]MACRO!$H$761</f>
        <v>-25989.973565371525</v>
      </c>
      <c r="BZ28" s="314">
        <f>+[76]MACRO!$H$598+[76]MACRO!$H$761</f>
        <v>-81.124229179999986</v>
      </c>
      <c r="CA28" s="314">
        <f>+[77]MACRO!$H$599+[77]MACRO!$H$764</f>
        <v>-177.8320544</v>
      </c>
      <c r="CB28" s="314">
        <f>+[78]MACRO!$H$600+[78]MACRO!$H$765</f>
        <v>-23879.820517462191</v>
      </c>
      <c r="CC28" s="416">
        <f>+[79]MACRO!$H$600+[79]MACRO!$H$765</f>
        <v>-21947.13774926453</v>
      </c>
      <c r="CD28" s="416">
        <f>+[80]MACRO!$H$600+[80]MACRO!$H$765</f>
        <v>-22260.239400441555</v>
      </c>
      <c r="CE28" s="314">
        <f>+[81]MACRO!$H$600+[81]MACRO!$H$765</f>
        <v>-24123.568281066047</v>
      </c>
      <c r="CF28" s="416">
        <f>+[82]MACRO!$H$600+[82]MACRO!$H$765</f>
        <v>-22351.746659710025</v>
      </c>
      <c r="CG28" s="314">
        <f>+[83]MACRO!$H$600+[83]MACRO!$H$765</f>
        <v>-22319.243269579754</v>
      </c>
      <c r="CH28" s="314">
        <f>+[84]MACRO!$H$600+[84]MACRO!$H$765</f>
        <v>-24537.237464378526</v>
      </c>
      <c r="CI28" s="314">
        <f>+[85]MACRO!$H$600+[85]MACRO!$H$765</f>
        <v>-25193.270195770321</v>
      </c>
      <c r="CJ28" s="314">
        <f>+[86]MACRO!$H$600+[86]MACRO!$H$765</f>
        <v>-26132.471188982803</v>
      </c>
      <c r="CK28" s="314">
        <f>+[87]MACRO!$H$601+[87]MACRO!$H$766</f>
        <v>-32217.032079521738</v>
      </c>
      <c r="CL28" s="632">
        <f>+[88]MACRO!$H$601+[88]MACRO!$H$766</f>
        <v>-27262.39690550564</v>
      </c>
      <c r="CM28" s="653">
        <f>+[89]MACRO!$H$601+[89]MACRO!$H$766</f>
        <v>-26415.865393021861</v>
      </c>
      <c r="CN28" s="653">
        <v>5624.4747691864004</v>
      </c>
      <c r="CO28" s="653">
        <v>5635.3376826232006</v>
      </c>
      <c r="CP28" s="684">
        <f>[90]MACRO!$H$601+[90]MACRO!$H$766</f>
        <v>-21900.204752971207</v>
      </c>
      <c r="CQ28" s="684">
        <f>[91]MACRO!$H$601+[91]MACRO!$H$766</f>
        <v>5511.5381379586006</v>
      </c>
      <c r="CR28" s="632">
        <f>[92]MACRO!$H$601+[92]MACRO!$H$766</f>
        <v>5510.5030120494002</v>
      </c>
      <c r="CS28" s="684">
        <f>[93]MACRO!$H$602+[93]MACRO!$H$767</f>
        <v>5511.4286723254008</v>
      </c>
      <c r="CT28" s="694">
        <f>[126]MACRO!$H$602</f>
        <v>5510.7441179747993</v>
      </c>
      <c r="CU28" s="684">
        <f>[94]MACRO!$H$602</f>
        <v>5648.4679061049992</v>
      </c>
      <c r="CV28" s="684">
        <f>[95]MACRO!$H$608</f>
        <v>5737.7142475352002</v>
      </c>
      <c r="CW28" s="684">
        <f>[96]MACRO!$H$608</f>
        <v>5726.5567081673998</v>
      </c>
      <c r="CX28" s="684">
        <f>[97]MACRO!$H$608</f>
        <v>5509.6124379317998</v>
      </c>
      <c r="CY28" s="632">
        <f>[98]MACRO!$H$608</f>
        <v>5603.3203978791998</v>
      </c>
      <c r="CZ28" s="632">
        <f>[99]MACRO!$H$608</f>
        <v>5626.4157588523994</v>
      </c>
      <c r="DA28" s="684">
        <f>[100]MACRO!$H$608</f>
        <v>7671.5413592549994</v>
      </c>
      <c r="DB28" s="684">
        <f>[101]MACRO!$H$608</f>
        <v>7386.1557732742003</v>
      </c>
      <c r="DC28" s="684">
        <f>[102]MACRO!$H$608</f>
        <v>7724.6274949401986</v>
      </c>
      <c r="DD28" s="684">
        <f>[103]MACRO!$H$608</f>
        <v>7251.4369874847998</v>
      </c>
      <c r="DE28" s="684">
        <f>[104]MACRO!$H$608</f>
        <v>7220.4230209606003</v>
      </c>
      <c r="DF28" s="662">
        <f>[105]MACRO!$H$608</f>
        <v>7289.6527326052001</v>
      </c>
      <c r="DG28" s="684">
        <f>[106]MACRO!$H$608</f>
        <v>7126.7911872231989</v>
      </c>
      <c r="DH28" s="684">
        <f>[107]MACRO!$H$608</f>
        <v>7126.8448109733999</v>
      </c>
      <c r="DI28" s="662">
        <f>[108]MACRO!$H$608</f>
        <v>7127.2397977946002</v>
      </c>
      <c r="DJ28" s="662">
        <f>[109]MACRO!$H$608</f>
        <v>7127.2811073896</v>
      </c>
      <c r="DK28" s="662">
        <f>[110]MACRO!$H$608</f>
        <v>7127.2756491563996</v>
      </c>
      <c r="DL28" s="662">
        <f>[111]MACRO!$H$608</f>
        <v>7451.6532210639998</v>
      </c>
      <c r="DM28" s="662">
        <f>[112]MACRO!$H$608</f>
        <v>7282.476207213399</v>
      </c>
      <c r="DN28" s="331">
        <f>DM28-DH28</f>
        <v>155.63139623999905</v>
      </c>
      <c r="DO28" s="715">
        <f>(+(DM28/DH28-1))*100</f>
        <v>2.1837348836383885</v>
      </c>
      <c r="DP28" s="458"/>
      <c r="DQ28" s="703"/>
      <c r="DR28" s="269"/>
    </row>
    <row r="29" spans="1:125" ht="13.8" x14ac:dyDescent="0.25">
      <c r="A29" s="204"/>
      <c r="B29" s="90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5">
      <c r="A30" s="204"/>
      <c r="B30" s="90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84">
        <v>66516.9823827941</v>
      </c>
      <c r="DI30" s="662">
        <v>66533.643010314117</v>
      </c>
      <c r="DJ30" s="662">
        <v>66589.523791144107</v>
      </c>
      <c r="DK30" s="662">
        <v>66589.879504024095</v>
      </c>
      <c r="DL30" s="662">
        <v>66880.152161504113</v>
      </c>
      <c r="DM30" s="662">
        <v>67859.590582994104</v>
      </c>
      <c r="DN30" s="331">
        <f>DM30-DH30</f>
        <v>1342.6082002000039</v>
      </c>
      <c r="DO30" s="715">
        <f>(+(DM30/DH30-1))*100</f>
        <v>2.0184442410112968</v>
      </c>
      <c r="DP30" s="695"/>
      <c r="DQ30" s="790"/>
      <c r="DR30" s="269"/>
    </row>
    <row r="31" spans="1:125" x14ac:dyDescent="0.25">
      <c r="A31" s="204"/>
      <c r="B31" s="90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84">
        <v>115305.65675868536</v>
      </c>
      <c r="DI31" s="662">
        <v>115197.06471525537</v>
      </c>
      <c r="DJ31" s="662">
        <v>115374.90948692539</v>
      </c>
      <c r="DK31" s="662">
        <v>115769.79075452535</v>
      </c>
      <c r="DL31" s="662">
        <v>116485.04609415538</v>
      </c>
      <c r="DM31" s="662">
        <v>118033.74281454537</v>
      </c>
      <c r="DN31" s="331">
        <f>DM31-DH31</f>
        <v>2728.0860558600107</v>
      </c>
      <c r="DO31" s="715">
        <f>(+(DM31/DH31-1))*100</f>
        <v>2.365960294185232</v>
      </c>
      <c r="DP31" s="695"/>
      <c r="DQ31" s="790"/>
      <c r="DR31" s="269"/>
    </row>
    <row r="32" spans="1:125" x14ac:dyDescent="0.25">
      <c r="A32" s="204"/>
      <c r="B32" s="90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84">
        <v>192883.07492700295</v>
      </c>
      <c r="DI32" s="662">
        <v>192773.65502802294</v>
      </c>
      <c r="DJ32" s="662">
        <v>193071.87699018294</v>
      </c>
      <c r="DK32" s="662">
        <v>193468.39433380292</v>
      </c>
      <c r="DL32" s="662">
        <v>194414.84970891295</v>
      </c>
      <c r="DM32" s="662">
        <v>195846.05374081293</v>
      </c>
      <c r="DN32" s="331">
        <f>DM32-DH32</f>
        <v>2962.978813809983</v>
      </c>
      <c r="DO32" s="715">
        <f>(+(DM32/DH32-1))*100</f>
        <v>1.5361528298588834</v>
      </c>
      <c r="DP32" s="695"/>
      <c r="DQ32" s="790"/>
      <c r="DR32" s="269"/>
    </row>
    <row r="33" spans="1:122" x14ac:dyDescent="0.25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5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f>100*0.877740245240763</f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803">
        <v>89.388502446983892</v>
      </c>
      <c r="DI34" s="699">
        <v>89.380468886086646</v>
      </c>
      <c r="DJ34" s="699">
        <v>89.356122109611832</v>
      </c>
      <c r="DK34" s="699">
        <v>89.346091066478621</v>
      </c>
      <c r="DL34" s="699">
        <v>89.361437103703594</v>
      </c>
      <c r="DM34" s="699">
        <v>89.175994981185369</v>
      </c>
      <c r="DN34" s="331">
        <f>DM34-DH34</f>
        <v>-0.21250746579852375</v>
      </c>
      <c r="DO34" s="715">
        <f>(+(DM34/DH34-1))*100</f>
        <v>-0.23773467502105072</v>
      </c>
      <c r="DP34" s="695"/>
      <c r="DQ34" s="790"/>
    </row>
    <row r="35" spans="1:122" x14ac:dyDescent="0.25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f>100*0.843559854595171</f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803">
        <v>83.852172168343145</v>
      </c>
      <c r="DI35" s="699">
        <v>83.861917580837613</v>
      </c>
      <c r="DJ35" s="699">
        <v>83.878374586147274</v>
      </c>
      <c r="DK35" s="699">
        <v>83.902672890867905</v>
      </c>
      <c r="DL35" s="699">
        <v>83.954506415067215</v>
      </c>
      <c r="DM35" s="699">
        <v>83.991956647522926</v>
      </c>
      <c r="DN35" s="331">
        <f>DM35-DH35</f>
        <v>0.13978447917978087</v>
      </c>
      <c r="DO35" s="715">
        <f>(+(DM35/DH35-1))*100</f>
        <v>0.16670346821683335</v>
      </c>
      <c r="DP35" s="695"/>
      <c r="DQ35" s="790"/>
    </row>
    <row r="36" spans="1:122" ht="13.8" thickBot="1" x14ac:dyDescent="0.3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f>100*0.865907988938879</f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04">
        <v>87.810246617231599</v>
      </c>
      <c r="DI36" s="879">
        <v>87.821787855524491</v>
      </c>
      <c r="DJ36" s="879">
        <v>87.815107480263293</v>
      </c>
      <c r="DK36" s="732">
        <v>87.809384228227273</v>
      </c>
      <c r="DL36" s="732">
        <v>87.839525500860887</v>
      </c>
      <c r="DM36" s="732">
        <v>87.865015946696417</v>
      </c>
      <c r="DN36" s="529">
        <f>DM36-DH36</f>
        <v>5.4769329464818384E-2</v>
      </c>
      <c r="DO36" s="733">
        <f>(+(DM36/DH36-1))*100</f>
        <v>6.237236720625372E-2</v>
      </c>
      <c r="DP36" s="695"/>
      <c r="DQ36" s="790"/>
    </row>
    <row r="37" spans="1:122" ht="12.75" customHeight="1" x14ac:dyDescent="0.25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5">
      <c r="A38" s="204"/>
      <c r="B38" s="90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f>+N39+N42</f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396">
        <v>2445.2771138527692</v>
      </c>
      <c r="DI38" s="404">
        <v>2445.2771138527692</v>
      </c>
      <c r="DJ38" s="404">
        <v>2445.2771138527692</v>
      </c>
      <c r="DK38" s="404">
        <v>2445.2771138527692</v>
      </c>
      <c r="DL38" s="404">
        <v>2445.2771138527692</v>
      </c>
      <c r="DM38" s="404">
        <v>2483.5161138527692</v>
      </c>
      <c r="DN38" s="331">
        <f t="shared" ref="DN38:DN52" si="11">DM38-DH38</f>
        <v>38.239000000000033</v>
      </c>
      <c r="DO38" s="715">
        <f t="shared" ref="DO38:DO52" si="12">(+(DM38/DH38-1))*100</f>
        <v>1.5637900417654782</v>
      </c>
      <c r="DP38" s="695"/>
      <c r="DQ38" s="603"/>
      <c r="DR38" s="269"/>
    </row>
    <row r="39" spans="1:122" x14ac:dyDescent="0.25">
      <c r="A39" s="204"/>
      <c r="B39" s="90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f>+N40/N85+N41</f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396">
        <v>1865.288921282799</v>
      </c>
      <c r="DI39" s="404">
        <v>1865.288921282799</v>
      </c>
      <c r="DJ39" s="404">
        <v>1865.288921282799</v>
      </c>
      <c r="DK39" s="404">
        <v>1865.288921282799</v>
      </c>
      <c r="DL39" s="404">
        <v>1865.288921282799</v>
      </c>
      <c r="DM39" s="404">
        <v>1866.1165510204085</v>
      </c>
      <c r="DN39" s="331">
        <f t="shared" si="11"/>
        <v>0.8276297376094135</v>
      </c>
      <c r="DO39" s="715">
        <f t="shared" si="12"/>
        <v>4.4370055928943941E-2</v>
      </c>
      <c r="DP39" s="695"/>
      <c r="DQ39" s="263"/>
      <c r="DR39" s="269"/>
    </row>
    <row r="40" spans="1:122" ht="12.75" customHeight="1" x14ac:dyDescent="0.25">
      <c r="A40" s="204"/>
      <c r="B40" s="90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396">
        <v>12795.882000000001</v>
      </c>
      <c r="DI40" s="404">
        <v>12795.882000000001</v>
      </c>
      <c r="DJ40" s="404">
        <v>12795.882000000001</v>
      </c>
      <c r="DK40" s="404">
        <v>12795.882000000001</v>
      </c>
      <c r="DL40" s="404">
        <v>12795.882000000001</v>
      </c>
      <c r="DM40" s="404">
        <v>12801.559540000002</v>
      </c>
      <c r="DN40" s="331">
        <f t="shared" si="11"/>
        <v>5.6775400000005902</v>
      </c>
      <c r="DO40" s="715">
        <f t="shared" si="12"/>
        <v>4.4370055928943941E-2</v>
      </c>
      <c r="DP40" s="695"/>
      <c r="DQ40" s="263"/>
      <c r="DR40" s="269"/>
    </row>
    <row r="41" spans="1:122" ht="12.75" customHeight="1" x14ac:dyDescent="0.25">
      <c r="A41" s="204"/>
      <c r="B41" s="90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f t="shared" si="11"/>
        <v>0</v>
      </c>
      <c r="DO41" s="828" t="e">
        <f t="shared" si="12"/>
        <v>#DIV/0!</v>
      </c>
      <c r="DP41" s="695"/>
      <c r="DQ41" s="263"/>
      <c r="DR41" s="269"/>
    </row>
    <row r="42" spans="1:122" x14ac:dyDescent="0.25">
      <c r="A42" s="204"/>
      <c r="B42" s="90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f>+N43/N85+N45</f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396">
        <v>579.98819256997001</v>
      </c>
      <c r="DI42" s="404">
        <v>579.98819256997001</v>
      </c>
      <c r="DJ42" s="404">
        <v>579.98819256997001</v>
      </c>
      <c r="DK42" s="404">
        <v>579.98819256997001</v>
      </c>
      <c r="DL42" s="404">
        <v>579.98819256997001</v>
      </c>
      <c r="DM42" s="404">
        <v>617.39956283236063</v>
      </c>
      <c r="DN42" s="331">
        <f t="shared" si="11"/>
        <v>37.411370262390619</v>
      </c>
      <c r="DO42" s="715">
        <f t="shared" si="12"/>
        <v>6.4503675663840854</v>
      </c>
      <c r="DP42" s="695"/>
      <c r="DQ42" s="263"/>
      <c r="DR42" s="269"/>
    </row>
    <row r="43" spans="1:122" ht="13.8" x14ac:dyDescent="0.25">
      <c r="A43" s="204"/>
      <c r="B43" s="90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396">
        <v>3978.7190010299946</v>
      </c>
      <c r="DI43" s="404">
        <v>3978.7190010299946</v>
      </c>
      <c r="DJ43" s="404">
        <v>3978.7190010299946</v>
      </c>
      <c r="DK43" s="404">
        <v>3978.7190010299946</v>
      </c>
      <c r="DL43" s="404">
        <v>3978.7190010299946</v>
      </c>
      <c r="DM43" s="404">
        <v>4235.3610010299944</v>
      </c>
      <c r="DN43" s="331">
        <f t="shared" si="11"/>
        <v>256.64199999999983</v>
      </c>
      <c r="DO43" s="715">
        <f t="shared" si="12"/>
        <v>6.4503675663840854</v>
      </c>
      <c r="DP43" s="695"/>
      <c r="DQ43" s="263"/>
      <c r="DR43" s="269"/>
    </row>
    <row r="44" spans="1:122" ht="12.75" customHeight="1" x14ac:dyDescent="0.25">
      <c r="A44" s="204"/>
      <c r="B44" s="90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396">
        <v>1316.4510010299996</v>
      </c>
      <c r="DI44" s="404">
        <v>1316.4510010299996</v>
      </c>
      <c r="DJ44" s="404">
        <v>1316.4510010299996</v>
      </c>
      <c r="DK44" s="404">
        <v>1316.4510010299996</v>
      </c>
      <c r="DL44" s="404">
        <v>1316.4510010299996</v>
      </c>
      <c r="DM44" s="404">
        <v>1273.0930010299996</v>
      </c>
      <c r="DN44" s="331">
        <f t="shared" si="11"/>
        <v>-43.357999999999947</v>
      </c>
      <c r="DO44" s="715">
        <f t="shared" si="12"/>
        <v>-3.2935521311523441</v>
      </c>
      <c r="DP44" s="695"/>
      <c r="DQ44" s="263"/>
      <c r="DR44" s="269"/>
    </row>
    <row r="45" spans="1:122" x14ac:dyDescent="0.25">
      <c r="A45" s="204"/>
      <c r="B45" s="90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f t="shared" si="11"/>
        <v>0</v>
      </c>
      <c r="DO45" s="810" t="e">
        <f t="shared" si="12"/>
        <v>#DIV/0!</v>
      </c>
      <c r="DP45" s="695"/>
      <c r="DQ45" s="263"/>
    </row>
    <row r="46" spans="1:122" x14ac:dyDescent="0.25">
      <c r="A46" s="204"/>
      <c r="B46" s="907"/>
      <c r="C46" s="17"/>
      <c r="D46" s="22" t="s">
        <v>26</v>
      </c>
      <c r="E46" s="109">
        <f t="shared" ref="E46:K46" si="13">+E47+E50</f>
        <v>3.5868005738880919</v>
      </c>
      <c r="F46" s="109">
        <f t="shared" si="13"/>
        <v>0</v>
      </c>
      <c r="G46" s="109">
        <f t="shared" si="13"/>
        <v>4.3294978479196553</v>
      </c>
      <c r="H46" s="109">
        <f t="shared" si="13"/>
        <v>0</v>
      </c>
      <c r="I46" s="109">
        <f t="shared" si="13"/>
        <v>0</v>
      </c>
      <c r="J46" s="109">
        <f t="shared" si="13"/>
        <v>5.7388809182209476E-2</v>
      </c>
      <c r="K46" s="109">
        <f t="shared" si="13"/>
        <v>0</v>
      </c>
      <c r="L46" s="109">
        <f>+L47+L50</f>
        <v>0</v>
      </c>
      <c r="M46" s="108">
        <f>+M47+M50</f>
        <v>0.03</v>
      </c>
      <c r="N46" s="109">
        <f>+N47+N50</f>
        <v>0.02</v>
      </c>
      <c r="O46" s="109">
        <f>+O47+O50</f>
        <v>0.02</v>
      </c>
      <c r="P46" s="158">
        <v>0.02</v>
      </c>
      <c r="Q46" s="109">
        <v>0.02</v>
      </c>
      <c r="R46" s="109">
        <f t="shared" ref="R46:Y46" si="14">+R47+R50</f>
        <v>0</v>
      </c>
      <c r="S46" s="174">
        <f t="shared" si="14"/>
        <v>0</v>
      </c>
      <c r="T46" s="174">
        <f t="shared" si="14"/>
        <v>0</v>
      </c>
      <c r="U46" s="174">
        <f t="shared" si="14"/>
        <v>0</v>
      </c>
      <c r="V46" s="174">
        <f t="shared" si="14"/>
        <v>0</v>
      </c>
      <c r="W46" s="174">
        <f t="shared" si="14"/>
        <v>0</v>
      </c>
      <c r="X46" s="174">
        <f t="shared" si="14"/>
        <v>0</v>
      </c>
      <c r="Y46" s="174">
        <f t="shared" si="14"/>
        <v>0</v>
      </c>
      <c r="Z46" s="174">
        <v>0</v>
      </c>
      <c r="AA46" s="174">
        <f>+AA47+AA50</f>
        <v>0</v>
      </c>
      <c r="AB46" s="174">
        <f>+AB47+AB50</f>
        <v>9.5504655172413792E-3</v>
      </c>
      <c r="AC46" s="174">
        <f>+AC47+AC50</f>
        <v>15.950432276657061</v>
      </c>
      <c r="AD46" s="174">
        <v>0</v>
      </c>
      <c r="AE46" s="174">
        <v>0</v>
      </c>
      <c r="AF46" s="174">
        <f t="shared" ref="AF46:AL46" si="15">+AF47+AF50</f>
        <v>0</v>
      </c>
      <c r="AG46" s="174">
        <f t="shared" si="15"/>
        <v>3.6269956458635702</v>
      </c>
      <c r="AH46" s="174">
        <f t="shared" si="15"/>
        <v>18.143686502177069</v>
      </c>
      <c r="AI46" s="174">
        <f t="shared" si="15"/>
        <v>0</v>
      </c>
      <c r="AJ46" s="174">
        <f t="shared" si="15"/>
        <v>7.2765647743813684</v>
      </c>
      <c r="AK46" s="174">
        <f t="shared" si="15"/>
        <v>0</v>
      </c>
      <c r="AL46" s="174">
        <f t="shared" si="15"/>
        <v>0</v>
      </c>
      <c r="AM46" s="174">
        <v>0</v>
      </c>
      <c r="AN46" s="174">
        <v>0</v>
      </c>
      <c r="AO46" s="174">
        <f>+AO47+AO50</f>
        <v>0</v>
      </c>
      <c r="AP46" s="174">
        <v>0</v>
      </c>
      <c r="AQ46" s="300">
        <f t="shared" ref="AQ46:BA46" si="16">+AQ47+AQ50</f>
        <v>0</v>
      </c>
      <c r="AR46" s="300">
        <f t="shared" si="16"/>
        <v>0</v>
      </c>
      <c r="AS46" s="300">
        <f t="shared" si="16"/>
        <v>0</v>
      </c>
      <c r="AT46" s="174">
        <f t="shared" si="16"/>
        <v>0.40466472303207002</v>
      </c>
      <c r="AU46" s="300">
        <f t="shared" si="16"/>
        <v>1.2771137026239066E-3</v>
      </c>
      <c r="AV46" s="322">
        <f t="shared" si="16"/>
        <v>1.2771137026239066E-3</v>
      </c>
      <c r="AW46" s="174">
        <f t="shared" si="16"/>
        <v>0.15</v>
      </c>
      <c r="AX46" s="174">
        <f t="shared" si="16"/>
        <v>0</v>
      </c>
      <c r="AY46" s="174">
        <f t="shared" si="16"/>
        <v>0</v>
      </c>
      <c r="AZ46" s="174">
        <f t="shared" si="16"/>
        <v>0</v>
      </c>
      <c r="BA46" s="174">
        <f t="shared" si="16"/>
        <v>0.5</v>
      </c>
      <c r="BB46" s="174">
        <f t="shared" ref="BB46:BI46" si="17">+BB47+BB50</f>
        <v>0.9</v>
      </c>
      <c r="BC46" s="174">
        <f t="shared" si="17"/>
        <v>0.9</v>
      </c>
      <c r="BD46" s="174">
        <f t="shared" si="17"/>
        <v>1.1000000000000001</v>
      </c>
      <c r="BE46" s="174">
        <f t="shared" si="17"/>
        <v>0.35</v>
      </c>
      <c r="BF46" s="174">
        <f t="shared" si="17"/>
        <v>0.2</v>
      </c>
      <c r="BG46" s="174">
        <f t="shared" si="17"/>
        <v>8.7463556851311949E-2</v>
      </c>
      <c r="BH46" s="174">
        <f t="shared" si="17"/>
        <v>0.13119533527696792</v>
      </c>
      <c r="BI46" s="174">
        <f t="shared" si="17"/>
        <v>0.64577259475218662</v>
      </c>
      <c r="BJ46" s="174">
        <f t="shared" ref="BJ46:BR46" si="18">+BJ47+BJ50</f>
        <v>0.35</v>
      </c>
      <c r="BK46" s="174">
        <f t="shared" si="18"/>
        <v>0</v>
      </c>
      <c r="BL46" s="390">
        <f t="shared" si="18"/>
        <v>42.889775510204082</v>
      </c>
      <c r="BM46" s="390">
        <f t="shared" si="18"/>
        <v>0.2</v>
      </c>
      <c r="BN46" s="300">
        <f t="shared" si="18"/>
        <v>0.55000000000000004</v>
      </c>
      <c r="BO46" s="300">
        <f t="shared" si="18"/>
        <v>0.6</v>
      </c>
      <c r="BP46" s="300">
        <f t="shared" si="18"/>
        <v>23.377157208454815</v>
      </c>
      <c r="BQ46" s="300">
        <f t="shared" si="18"/>
        <v>118.84701221574343</v>
      </c>
      <c r="BR46" s="318">
        <f t="shared" si="18"/>
        <v>167.33179602623909</v>
      </c>
      <c r="BS46" s="403">
        <f t="shared" ref="BS46:CK46" si="19">+BS47+BS50</f>
        <v>120.92988466034986</v>
      </c>
      <c r="BT46" s="318">
        <f t="shared" si="19"/>
        <v>209.33883865597659</v>
      </c>
      <c r="BU46" s="434">
        <f t="shared" si="19"/>
        <v>87.879145138483906</v>
      </c>
      <c r="BV46" s="434">
        <f t="shared" si="19"/>
        <v>0.49577259475218655</v>
      </c>
      <c r="BW46" s="434">
        <f t="shared" si="19"/>
        <v>67.394652016034996</v>
      </c>
      <c r="BX46" s="434">
        <f t="shared" si="19"/>
        <v>0.24577259475218657</v>
      </c>
      <c r="BY46" s="318">
        <f t="shared" si="19"/>
        <v>14.107194333819198</v>
      </c>
      <c r="BZ46" s="434">
        <f t="shared" si="19"/>
        <v>0.45</v>
      </c>
      <c r="CA46" s="434">
        <f t="shared" si="19"/>
        <v>0.3</v>
      </c>
      <c r="CB46" s="318">
        <f t="shared" si="19"/>
        <v>0.40408163265306118</v>
      </c>
      <c r="CC46" s="434">
        <f t="shared" si="19"/>
        <v>72.245680758017485</v>
      </c>
      <c r="CD46" s="318">
        <f t="shared" si="19"/>
        <v>0.6</v>
      </c>
      <c r="CE46" s="318">
        <f t="shared" si="19"/>
        <v>0.55000000000000004</v>
      </c>
      <c r="CF46" s="318">
        <f t="shared" si="19"/>
        <v>0.4</v>
      </c>
      <c r="CG46" s="318">
        <f t="shared" si="19"/>
        <v>0.35</v>
      </c>
      <c r="CH46" s="318">
        <f t="shared" si="19"/>
        <v>0.71</v>
      </c>
      <c r="CI46" s="318">
        <f t="shared" si="19"/>
        <v>0.6426822157434402</v>
      </c>
      <c r="CJ46" s="318">
        <f t="shared" si="19"/>
        <v>0.62830903790087456</v>
      </c>
      <c r="CK46" s="318">
        <f t="shared" si="19"/>
        <v>0.65</v>
      </c>
      <c r="CL46" s="638">
        <f>+CL47+CL50</f>
        <v>0.38749271137026237</v>
      </c>
      <c r="CM46" s="638">
        <f>+CM47+CM50</f>
        <v>16.167346938775509</v>
      </c>
      <c r="CN46" s="638">
        <v>16.273007234693875</v>
      </c>
      <c r="CO46" s="638">
        <v>17.827638483965014</v>
      </c>
      <c r="CP46" s="686">
        <f>+CP47+CP50</f>
        <v>0.37492711370262433</v>
      </c>
      <c r="CQ46" s="686">
        <f>+CQ47+CQ50</f>
        <v>0</v>
      </c>
      <c r="CR46" s="638">
        <f>+CR47+CR50</f>
        <v>0</v>
      </c>
      <c r="CS46" s="686">
        <f>+CS47+CS50</f>
        <v>0.13078717201166179</v>
      </c>
      <c r="CT46" s="707">
        <v>7.3309037900874632E-2</v>
      </c>
      <c r="CU46" s="686">
        <f>+CU47+CU50</f>
        <v>20.174927113702623</v>
      </c>
      <c r="CV46" s="686">
        <f>+CV47+CV50</f>
        <v>33.221574344023324</v>
      </c>
      <c r="CW46" s="686">
        <f t="shared" ref="CW46:CZ46" si="20">+CW47+CW50</f>
        <v>31.641107871720116</v>
      </c>
      <c r="CX46" s="686">
        <f t="shared" si="20"/>
        <v>0</v>
      </c>
      <c r="CY46" s="638">
        <f t="shared" si="20"/>
        <v>13.669096209912535</v>
      </c>
      <c r="CZ46" s="638">
        <f t="shared" si="20"/>
        <v>17.028104956268219</v>
      </c>
      <c r="DA46" s="686">
        <f>+DA47+DA50</f>
        <v>315.01621045626825</v>
      </c>
      <c r="DB46" s="686">
        <f t="shared" ref="DB46:DH46" si="21">+DB47+DB50</f>
        <v>230.18556851311956</v>
      </c>
      <c r="DC46" s="686">
        <f t="shared" si="21"/>
        <v>167.03699149125362</v>
      </c>
      <c r="DD46" s="686">
        <f t="shared" si="21"/>
        <v>19.314670641399417</v>
      </c>
      <c r="DE46" s="686">
        <f t="shared" si="21"/>
        <v>13.774251744897834</v>
      </c>
      <c r="DF46" s="664">
        <f t="shared" si="21"/>
        <v>23.88044622303207</v>
      </c>
      <c r="DG46" s="686">
        <f t="shared" si="21"/>
        <v>0.14577259475218657</v>
      </c>
      <c r="DH46" s="686">
        <f t="shared" si="21"/>
        <v>0.14577259475218657</v>
      </c>
      <c r="DI46" s="664">
        <f t="shared" ref="DI46:DJ46" si="22">+DI47+DI50</f>
        <v>0.18950437317784255</v>
      </c>
      <c r="DJ46" s="664">
        <f t="shared" si="22"/>
        <v>0.18950437317784255</v>
      </c>
      <c r="DK46" s="664">
        <f t="shared" ref="DK46:DM46" si="23">+DK47+DK50</f>
        <v>0.18950437317784255</v>
      </c>
      <c r="DL46" s="664">
        <f t="shared" ref="DL46" si="24">+DL47+DL50</f>
        <v>47.481129737609329</v>
      </c>
      <c r="DM46" s="664">
        <f t="shared" si="23"/>
        <v>22.819322157434403</v>
      </c>
      <c r="DN46" s="331">
        <f t="shared" si="11"/>
        <v>22.673549562682215</v>
      </c>
      <c r="DO46" s="715">
        <f t="shared" si="12"/>
        <v>15554.055000000002</v>
      </c>
      <c r="DP46" s="458"/>
      <c r="DQ46" s="263"/>
    </row>
    <row r="47" spans="1:122" x14ac:dyDescent="0.25">
      <c r="A47" s="204"/>
      <c r="B47" s="907"/>
      <c r="C47" s="17"/>
      <c r="D47" s="22" t="s">
        <v>15</v>
      </c>
      <c r="E47" s="109">
        <f t="shared" ref="E47:AL47" si="25">+E48/E$85+E49</f>
        <v>0</v>
      </c>
      <c r="F47" s="109">
        <f t="shared" si="25"/>
        <v>0</v>
      </c>
      <c r="G47" s="109">
        <f t="shared" si="25"/>
        <v>0.78</v>
      </c>
      <c r="H47" s="109">
        <f t="shared" si="25"/>
        <v>0</v>
      </c>
      <c r="I47" s="109">
        <f t="shared" si="25"/>
        <v>0</v>
      </c>
      <c r="J47" s="109">
        <f t="shared" si="25"/>
        <v>5.7388809182209476E-2</v>
      </c>
      <c r="K47" s="109">
        <f t="shared" si="25"/>
        <v>0</v>
      </c>
      <c r="L47" s="109">
        <f t="shared" si="25"/>
        <v>0</v>
      </c>
      <c r="M47" s="108">
        <f t="shared" si="25"/>
        <v>0.03</v>
      </c>
      <c r="N47" s="109">
        <f t="shared" si="25"/>
        <v>0.02</v>
      </c>
      <c r="O47" s="109">
        <f t="shared" si="25"/>
        <v>0.02</v>
      </c>
      <c r="P47" s="158">
        <f t="shared" si="25"/>
        <v>0</v>
      </c>
      <c r="Q47" s="109">
        <f t="shared" si="25"/>
        <v>0</v>
      </c>
      <c r="R47" s="109">
        <f t="shared" si="25"/>
        <v>0</v>
      </c>
      <c r="S47" s="174">
        <f t="shared" si="25"/>
        <v>0</v>
      </c>
      <c r="T47" s="174">
        <f t="shared" si="25"/>
        <v>0</v>
      </c>
      <c r="U47" s="174">
        <f t="shared" si="25"/>
        <v>0</v>
      </c>
      <c r="V47" s="174">
        <f t="shared" si="25"/>
        <v>0</v>
      </c>
      <c r="W47" s="174">
        <f t="shared" si="25"/>
        <v>0</v>
      </c>
      <c r="X47" s="174">
        <f t="shared" si="25"/>
        <v>0</v>
      </c>
      <c r="Y47" s="174">
        <f t="shared" si="25"/>
        <v>0</v>
      </c>
      <c r="Z47" s="174">
        <f t="shared" si="25"/>
        <v>0</v>
      </c>
      <c r="AA47" s="174">
        <f t="shared" si="25"/>
        <v>0</v>
      </c>
      <c r="AB47" s="174">
        <f t="shared" si="25"/>
        <v>9.5504655172413792E-3</v>
      </c>
      <c r="AC47" s="174">
        <f t="shared" si="25"/>
        <v>15.950432276657061</v>
      </c>
      <c r="AD47" s="174">
        <f t="shared" si="25"/>
        <v>0</v>
      </c>
      <c r="AE47" s="174">
        <f t="shared" si="25"/>
        <v>0</v>
      </c>
      <c r="AF47" s="174">
        <f t="shared" si="25"/>
        <v>0</v>
      </c>
      <c r="AG47" s="174">
        <f t="shared" si="25"/>
        <v>0</v>
      </c>
      <c r="AH47" s="174">
        <f t="shared" si="25"/>
        <v>4.3541364296081275E-3</v>
      </c>
      <c r="AI47" s="174">
        <f t="shared" si="25"/>
        <v>0</v>
      </c>
      <c r="AJ47" s="174">
        <f t="shared" si="25"/>
        <v>7.2765647743813684</v>
      </c>
      <c r="AK47" s="174">
        <f t="shared" si="25"/>
        <v>0</v>
      </c>
      <c r="AL47" s="174">
        <f t="shared" si="25"/>
        <v>0</v>
      </c>
      <c r="AM47" s="174">
        <v>0</v>
      </c>
      <c r="AN47" s="174">
        <v>0</v>
      </c>
      <c r="AO47" s="174">
        <f>+AO48/AO$85+AO49</f>
        <v>0</v>
      </c>
      <c r="AP47" s="174">
        <v>0</v>
      </c>
      <c r="AQ47" s="174">
        <v>0</v>
      </c>
      <c r="AR47" s="174">
        <f t="shared" ref="AR47:BV47" si="26">+AR48/AR$85+AR49</f>
        <v>0</v>
      </c>
      <c r="AS47" s="174">
        <f t="shared" si="26"/>
        <v>0</v>
      </c>
      <c r="AT47" s="174">
        <f t="shared" si="26"/>
        <v>0.40466472303207002</v>
      </c>
      <c r="AU47" s="174">
        <f t="shared" si="26"/>
        <v>1.2771137026239066E-3</v>
      </c>
      <c r="AV47" s="322">
        <f t="shared" si="26"/>
        <v>1.2771137026239066E-3</v>
      </c>
      <c r="AW47" s="174">
        <f t="shared" si="26"/>
        <v>0.15</v>
      </c>
      <c r="AX47" s="174">
        <f t="shared" si="26"/>
        <v>0</v>
      </c>
      <c r="AY47" s="174">
        <f t="shared" si="26"/>
        <v>0</v>
      </c>
      <c r="AZ47" s="174">
        <f t="shared" si="26"/>
        <v>0</v>
      </c>
      <c r="BA47" s="174">
        <f t="shared" si="26"/>
        <v>0.5</v>
      </c>
      <c r="BB47" s="174">
        <f t="shared" si="26"/>
        <v>0.9</v>
      </c>
      <c r="BC47" s="174">
        <f t="shared" si="26"/>
        <v>0.9</v>
      </c>
      <c r="BD47" s="174">
        <f t="shared" si="26"/>
        <v>1.1000000000000001</v>
      </c>
      <c r="BE47" s="174">
        <f t="shared" si="26"/>
        <v>0.35</v>
      </c>
      <c r="BF47" s="174">
        <f t="shared" si="26"/>
        <v>0.2</v>
      </c>
      <c r="BG47" s="174">
        <f t="shared" si="26"/>
        <v>8.7463556851311949E-2</v>
      </c>
      <c r="BH47" s="174">
        <f t="shared" si="26"/>
        <v>0.13119533527696792</v>
      </c>
      <c r="BI47" s="174">
        <f t="shared" si="26"/>
        <v>0.64577259475218662</v>
      </c>
      <c r="BJ47" s="174">
        <f t="shared" si="26"/>
        <v>0.35</v>
      </c>
      <c r="BK47" s="174">
        <f t="shared" si="26"/>
        <v>0</v>
      </c>
      <c r="BL47" s="390">
        <f t="shared" si="26"/>
        <v>0.2</v>
      </c>
      <c r="BM47" s="390">
        <f t="shared" si="26"/>
        <v>0.2</v>
      </c>
      <c r="BN47" s="300">
        <f t="shared" si="26"/>
        <v>0.55000000000000004</v>
      </c>
      <c r="BO47" s="300">
        <f t="shared" si="26"/>
        <v>0.6</v>
      </c>
      <c r="BP47" s="300">
        <f t="shared" si="26"/>
        <v>1.1000000000000001</v>
      </c>
      <c r="BQ47" s="300">
        <f t="shared" si="26"/>
        <v>0.7</v>
      </c>
      <c r="BR47" s="318">
        <f t="shared" si="26"/>
        <v>0.47288629737609333</v>
      </c>
      <c r="BS47" s="403">
        <f t="shared" si="26"/>
        <v>0.25</v>
      </c>
      <c r="BT47" s="318">
        <f t="shared" si="26"/>
        <v>0</v>
      </c>
      <c r="BU47" s="434">
        <f t="shared" si="26"/>
        <v>5.0736151603498545</v>
      </c>
      <c r="BV47" s="434">
        <f t="shared" si="26"/>
        <v>0.49577259475218655</v>
      </c>
      <c r="BW47" s="434">
        <f t="shared" ref="BW47:CK47" si="27">+BW48/BW$85+BW49</f>
        <v>0.35830903790087465</v>
      </c>
      <c r="BX47" s="434">
        <f t="shared" si="27"/>
        <v>0.24577259475218657</v>
      </c>
      <c r="BY47" s="318">
        <f t="shared" si="27"/>
        <v>5.0606413994169088</v>
      </c>
      <c r="BZ47" s="434">
        <f t="shared" si="27"/>
        <v>0.45</v>
      </c>
      <c r="CA47" s="434">
        <f t="shared" si="27"/>
        <v>0.3</v>
      </c>
      <c r="CB47" s="318">
        <f t="shared" si="27"/>
        <v>0.40408163265306118</v>
      </c>
      <c r="CC47" s="434">
        <f t="shared" si="27"/>
        <v>0.7</v>
      </c>
      <c r="CD47" s="318">
        <f t="shared" si="27"/>
        <v>0.6</v>
      </c>
      <c r="CE47" s="318">
        <f t="shared" si="27"/>
        <v>0.55000000000000004</v>
      </c>
      <c r="CF47" s="318">
        <f t="shared" si="27"/>
        <v>0.4</v>
      </c>
      <c r="CG47" s="318">
        <f t="shared" si="27"/>
        <v>0.35</v>
      </c>
      <c r="CH47" s="318">
        <f t="shared" si="27"/>
        <v>0.71</v>
      </c>
      <c r="CI47" s="318">
        <f t="shared" si="27"/>
        <v>0.6426822157434402</v>
      </c>
      <c r="CJ47" s="318">
        <f t="shared" si="27"/>
        <v>0.62830903790087456</v>
      </c>
      <c r="CK47" s="318">
        <f t="shared" si="27"/>
        <v>0.65</v>
      </c>
      <c r="CL47" s="638">
        <f>+CL48/CL$85+CL49</f>
        <v>0.38749271137026237</v>
      </c>
      <c r="CM47" s="638">
        <f>+CM48/CM$85+CM49</f>
        <v>16.167346938775509</v>
      </c>
      <c r="CN47" s="638">
        <v>16.273007234693875</v>
      </c>
      <c r="CO47" s="638">
        <v>17.827638483965014</v>
      </c>
      <c r="CP47" s="686">
        <f>+CP48/CP$85+CP49</f>
        <v>0.37492711370262433</v>
      </c>
      <c r="CQ47" s="686">
        <f>+CQ48/CQ$85+CQ49</f>
        <v>0</v>
      </c>
      <c r="CR47" s="638">
        <f>+CR48/CR$85+CR49</f>
        <v>0</v>
      </c>
      <c r="CS47" s="686">
        <f>+CS48/CS$85+CS49</f>
        <v>0.13078717201166179</v>
      </c>
      <c r="CT47" s="707">
        <v>7.3309037900874632E-2</v>
      </c>
      <c r="CU47" s="686">
        <f>+CU48/CU$85+CU49</f>
        <v>20.174927113702623</v>
      </c>
      <c r="CV47" s="686">
        <f>+CV48/CV$85+CV49</f>
        <v>33.221574344023324</v>
      </c>
      <c r="CW47" s="686">
        <f t="shared" ref="CW47:CZ47" si="28">+CW48/CW$85+CW49</f>
        <v>31.641107871720116</v>
      </c>
      <c r="CX47" s="686">
        <f t="shared" si="28"/>
        <v>0</v>
      </c>
      <c r="CY47" s="638">
        <f t="shared" si="28"/>
        <v>0</v>
      </c>
      <c r="CZ47" s="638">
        <f t="shared" si="28"/>
        <v>0</v>
      </c>
      <c r="DA47" s="686">
        <f>+DA48/DA$85+DA49</f>
        <v>48.51137026239067</v>
      </c>
      <c r="DB47" s="686">
        <f t="shared" ref="DB47:DH47" si="29">+DB48/DB$85+DB49</f>
        <v>1.4577259475218658</v>
      </c>
      <c r="DC47" s="686">
        <f t="shared" si="29"/>
        <v>24.618075801749271</v>
      </c>
      <c r="DD47" s="686">
        <f t="shared" si="29"/>
        <v>0.18950437317784255</v>
      </c>
      <c r="DE47" s="686">
        <f t="shared" si="29"/>
        <v>0.23032069970845481</v>
      </c>
      <c r="DF47" s="664">
        <f t="shared" si="29"/>
        <v>0.18950437317784255</v>
      </c>
      <c r="DG47" s="686">
        <f t="shared" si="29"/>
        <v>0.14577259475218657</v>
      </c>
      <c r="DH47" s="686">
        <f t="shared" si="29"/>
        <v>0.14577259475218657</v>
      </c>
      <c r="DI47" s="664">
        <f t="shared" ref="DI47:DJ47" si="30">+DI48/DI$85+DI49</f>
        <v>0.18950437317784255</v>
      </c>
      <c r="DJ47" s="664">
        <f t="shared" si="30"/>
        <v>0.18950437317784255</v>
      </c>
      <c r="DK47" s="664">
        <f t="shared" ref="DK47:DM47" si="31">+DK48/DK$85+DK49</f>
        <v>0.18950437317784255</v>
      </c>
      <c r="DL47" s="664">
        <f t="shared" ref="DL47" si="32">+DL48/DL$85+DL49</f>
        <v>24.85131195335277</v>
      </c>
      <c r="DM47" s="664">
        <f t="shared" si="31"/>
        <v>0.18950437317784255</v>
      </c>
      <c r="DN47" s="331">
        <f t="shared" si="11"/>
        <v>4.3731778425655982E-2</v>
      </c>
      <c r="DO47" s="715">
        <f t="shared" si="12"/>
        <v>30.000000000000004</v>
      </c>
      <c r="DP47" s="458"/>
      <c r="DQ47" s="603"/>
    </row>
    <row r="48" spans="1:122" ht="12.75" customHeight="1" outlineLevel="1" x14ac:dyDescent="0.25">
      <c r="A48" s="204"/>
      <c r="B48" s="90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86">
        <v>1</v>
      </c>
      <c r="DI48" s="664">
        <v>1.3</v>
      </c>
      <c r="DJ48" s="664">
        <v>1.3</v>
      </c>
      <c r="DK48" s="664">
        <v>1.3</v>
      </c>
      <c r="DL48" s="664">
        <v>81.3</v>
      </c>
      <c r="DM48" s="664">
        <v>1.3</v>
      </c>
      <c r="DN48" s="331">
        <f t="shared" si="11"/>
        <v>0.30000000000000004</v>
      </c>
      <c r="DO48" s="715">
        <f t="shared" si="12"/>
        <v>30.000000000000004</v>
      </c>
      <c r="DP48" s="720"/>
      <c r="DQ48" s="603"/>
    </row>
    <row r="49" spans="1:124" ht="12.75" customHeight="1" outlineLevel="1" x14ac:dyDescent="0.25">
      <c r="A49" s="204"/>
      <c r="B49" s="90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13</v>
      </c>
      <c r="DM49" s="664">
        <v>0</v>
      </c>
      <c r="DN49" s="331">
        <f t="shared" si="11"/>
        <v>0</v>
      </c>
      <c r="DO49" s="828" t="e">
        <f t="shared" si="12"/>
        <v>#DIV/0!</v>
      </c>
      <c r="DP49" s="458"/>
      <c r="DQ49" s="603"/>
    </row>
    <row r="50" spans="1:124" x14ac:dyDescent="0.25">
      <c r="A50" s="204"/>
      <c r="B50" s="907"/>
      <c r="C50" s="17"/>
      <c r="D50" s="22" t="s">
        <v>30</v>
      </c>
      <c r="E50" s="109">
        <f t="shared" ref="E50:AI50" si="33">+E51/E$85+E52</f>
        <v>3.5868005738880919</v>
      </c>
      <c r="F50" s="109">
        <f t="shared" si="33"/>
        <v>0</v>
      </c>
      <c r="G50" s="109">
        <f t="shared" si="33"/>
        <v>3.5494978479196555</v>
      </c>
      <c r="H50" s="109">
        <f t="shared" si="33"/>
        <v>0</v>
      </c>
      <c r="I50" s="109">
        <f t="shared" si="33"/>
        <v>0</v>
      </c>
      <c r="J50" s="109">
        <f t="shared" si="33"/>
        <v>0</v>
      </c>
      <c r="K50" s="109">
        <f t="shared" si="33"/>
        <v>0</v>
      </c>
      <c r="L50" s="109">
        <f t="shared" si="33"/>
        <v>0</v>
      </c>
      <c r="M50" s="108">
        <f t="shared" si="33"/>
        <v>0</v>
      </c>
      <c r="N50" s="109">
        <f t="shared" si="33"/>
        <v>0</v>
      </c>
      <c r="O50" s="109">
        <f t="shared" si="33"/>
        <v>0</v>
      </c>
      <c r="P50" s="158">
        <f t="shared" si="33"/>
        <v>0</v>
      </c>
      <c r="Q50" s="109">
        <f t="shared" si="33"/>
        <v>0</v>
      </c>
      <c r="R50" s="109">
        <f t="shared" si="33"/>
        <v>0</v>
      </c>
      <c r="S50" s="174">
        <f t="shared" si="33"/>
        <v>0</v>
      </c>
      <c r="T50" s="174">
        <f t="shared" si="33"/>
        <v>0</v>
      </c>
      <c r="U50" s="174">
        <f t="shared" si="33"/>
        <v>0</v>
      </c>
      <c r="V50" s="174">
        <f t="shared" si="33"/>
        <v>0</v>
      </c>
      <c r="W50" s="174">
        <f t="shared" si="33"/>
        <v>0</v>
      </c>
      <c r="X50" s="174">
        <f t="shared" si="33"/>
        <v>0</v>
      </c>
      <c r="Y50" s="174">
        <f t="shared" si="33"/>
        <v>0</v>
      </c>
      <c r="Z50" s="174">
        <f t="shared" si="33"/>
        <v>0</v>
      </c>
      <c r="AA50" s="174">
        <f t="shared" si="33"/>
        <v>0</v>
      </c>
      <c r="AB50" s="174">
        <f t="shared" si="33"/>
        <v>0</v>
      </c>
      <c r="AC50" s="174">
        <f t="shared" si="33"/>
        <v>0</v>
      </c>
      <c r="AD50" s="174">
        <f t="shared" si="33"/>
        <v>0</v>
      </c>
      <c r="AE50" s="174">
        <f t="shared" si="33"/>
        <v>0</v>
      </c>
      <c r="AF50" s="174">
        <f t="shared" si="33"/>
        <v>0</v>
      </c>
      <c r="AG50" s="174">
        <f t="shared" si="33"/>
        <v>3.6269956458635702</v>
      </c>
      <c r="AH50" s="174">
        <f t="shared" si="33"/>
        <v>18.13933236574746</v>
      </c>
      <c r="AI50" s="174">
        <f t="shared" si="33"/>
        <v>0</v>
      </c>
      <c r="AJ50" s="174">
        <v>0</v>
      </c>
      <c r="AK50" s="174">
        <v>0</v>
      </c>
      <c r="AL50" s="174">
        <f>+AL51/AL$85+AL52</f>
        <v>0</v>
      </c>
      <c r="AM50" s="174">
        <v>0</v>
      </c>
      <c r="AN50" s="174">
        <v>0</v>
      </c>
      <c r="AO50" s="174">
        <f>+AO51/AO$85+AO52</f>
        <v>0</v>
      </c>
      <c r="AP50" s="174">
        <v>0</v>
      </c>
      <c r="AQ50" s="174">
        <v>0</v>
      </c>
      <c r="AR50" s="174">
        <f>+AR51/AR$85+AR52</f>
        <v>0</v>
      </c>
      <c r="AS50" s="174">
        <f>+AS51/AS$85+AS52</f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f t="shared" ref="AY50:BV50" si="34">+AY51/AY$85+AY52</f>
        <v>0</v>
      </c>
      <c r="AZ50" s="174">
        <f t="shared" si="34"/>
        <v>0</v>
      </c>
      <c r="BA50" s="174">
        <f t="shared" si="34"/>
        <v>0</v>
      </c>
      <c r="BB50" s="174">
        <f t="shared" si="34"/>
        <v>0</v>
      </c>
      <c r="BC50" s="174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74">
        <f t="shared" si="34"/>
        <v>0</v>
      </c>
      <c r="BH50" s="174">
        <f t="shared" si="34"/>
        <v>0</v>
      </c>
      <c r="BI50" s="174">
        <f t="shared" si="34"/>
        <v>0</v>
      </c>
      <c r="BJ50" s="174">
        <f t="shared" si="34"/>
        <v>0</v>
      </c>
      <c r="BK50" s="174">
        <f t="shared" si="34"/>
        <v>0</v>
      </c>
      <c r="BL50" s="390">
        <f t="shared" si="34"/>
        <v>42.689775510204079</v>
      </c>
      <c r="BM50" s="174">
        <f t="shared" si="34"/>
        <v>0</v>
      </c>
      <c r="BN50" s="300">
        <f t="shared" si="34"/>
        <v>0</v>
      </c>
      <c r="BO50" s="300">
        <f t="shared" si="34"/>
        <v>0</v>
      </c>
      <c r="BP50" s="300">
        <f t="shared" si="34"/>
        <v>22.277157208454813</v>
      </c>
      <c r="BQ50" s="300">
        <f t="shared" si="34"/>
        <v>118.14701221574343</v>
      </c>
      <c r="BR50" s="318">
        <f t="shared" si="34"/>
        <v>166.85890972886298</v>
      </c>
      <c r="BS50" s="403">
        <f t="shared" si="34"/>
        <v>120.67988466034986</v>
      </c>
      <c r="BT50" s="318">
        <f t="shared" si="34"/>
        <v>209.33883865597659</v>
      </c>
      <c r="BU50" s="434">
        <f t="shared" si="34"/>
        <v>82.805529978134047</v>
      </c>
      <c r="BV50" s="434">
        <f t="shared" si="34"/>
        <v>0</v>
      </c>
      <c r="BW50" s="434">
        <f t="shared" ref="BW50:CK50" si="35">+BW51/BW$85+BW52</f>
        <v>67.036342978134115</v>
      </c>
      <c r="BX50" s="434">
        <f t="shared" si="35"/>
        <v>0</v>
      </c>
      <c r="BY50" s="318">
        <f t="shared" si="35"/>
        <v>9.046552934402289</v>
      </c>
      <c r="BZ50" s="434">
        <f t="shared" si="35"/>
        <v>0</v>
      </c>
      <c r="CA50" s="434">
        <f t="shared" si="35"/>
        <v>0</v>
      </c>
      <c r="CB50" s="318">
        <f t="shared" si="35"/>
        <v>0</v>
      </c>
      <c r="CC50" s="434">
        <f t="shared" si="35"/>
        <v>71.545680758017483</v>
      </c>
      <c r="CD50" s="318">
        <f t="shared" si="35"/>
        <v>0</v>
      </c>
      <c r="CE50" s="318">
        <f t="shared" si="35"/>
        <v>0</v>
      </c>
      <c r="CF50" s="318">
        <f t="shared" si="35"/>
        <v>0</v>
      </c>
      <c r="CG50" s="318">
        <f t="shared" si="35"/>
        <v>0</v>
      </c>
      <c r="CH50" s="318">
        <f t="shared" si="35"/>
        <v>0</v>
      </c>
      <c r="CI50" s="318">
        <f t="shared" si="35"/>
        <v>0</v>
      </c>
      <c r="CJ50" s="318">
        <f t="shared" si="35"/>
        <v>0</v>
      </c>
      <c r="CK50" s="318">
        <f t="shared" si="35"/>
        <v>0</v>
      </c>
      <c r="CL50" s="638">
        <f>+CL51/CL$85+CL52</f>
        <v>0</v>
      </c>
      <c r="CM50" s="638">
        <f>+CM51/CM$85+CM52</f>
        <v>0</v>
      </c>
      <c r="CN50" s="638">
        <v>0</v>
      </c>
      <c r="CO50" s="638">
        <v>0</v>
      </c>
      <c r="CP50" s="686">
        <f>+CP51/CP$85+CP52</f>
        <v>0</v>
      </c>
      <c r="CQ50" s="686">
        <f>+CQ51/CQ$85+CQ52</f>
        <v>0</v>
      </c>
      <c r="CR50" s="638">
        <f>+CR51/CR$85+CR52</f>
        <v>0</v>
      </c>
      <c r="CS50" s="686">
        <f>+CS51/CS$85+CS52</f>
        <v>0</v>
      </c>
      <c r="CT50" s="707">
        <v>0</v>
      </c>
      <c r="CU50" s="686">
        <f>+CU51/CU$85+CU52</f>
        <v>0</v>
      </c>
      <c r="CV50" s="686">
        <f>+CV51/CV$85+CV52</f>
        <v>0</v>
      </c>
      <c r="CW50" s="686">
        <f t="shared" ref="CW50:CZ50" si="36">+CW51/CW$85+CW52</f>
        <v>0</v>
      </c>
      <c r="CX50" s="686">
        <f t="shared" si="36"/>
        <v>0</v>
      </c>
      <c r="CY50" s="638">
        <f t="shared" si="36"/>
        <v>13.669096209912535</v>
      </c>
      <c r="CZ50" s="638">
        <f t="shared" si="36"/>
        <v>17.028104956268219</v>
      </c>
      <c r="DA50" s="686">
        <f>+DA51/DA$85+DA52</f>
        <v>266.50484019387756</v>
      </c>
      <c r="DB50" s="686">
        <f t="shared" ref="DB50:DH50" si="37">+DB51/DB$85+DB52</f>
        <v>228.72784256559768</v>
      </c>
      <c r="DC50" s="686">
        <f t="shared" si="37"/>
        <v>142.41891568950436</v>
      </c>
      <c r="DD50" s="686">
        <f t="shared" si="37"/>
        <v>19.125166268221573</v>
      </c>
      <c r="DE50" s="686">
        <f t="shared" si="37"/>
        <v>13.543931045189378</v>
      </c>
      <c r="DF50" s="664">
        <f t="shared" si="37"/>
        <v>23.690941849854227</v>
      </c>
      <c r="DG50" s="686">
        <f t="shared" si="37"/>
        <v>0</v>
      </c>
      <c r="DH50" s="686">
        <f t="shared" si="37"/>
        <v>0</v>
      </c>
      <c r="DI50" s="664">
        <f t="shared" ref="DI50:DJ50" si="38">+DI51/DI$85+DI52</f>
        <v>0</v>
      </c>
      <c r="DJ50" s="664">
        <f t="shared" si="38"/>
        <v>0</v>
      </c>
      <c r="DK50" s="664">
        <f t="shared" ref="DK50:DM50" si="39">+DK51/DK$85+DK52</f>
        <v>0</v>
      </c>
      <c r="DL50" s="664">
        <f t="shared" ref="DL50" si="40">+DL51/DL$85+DL52</f>
        <v>22.629817784256559</v>
      </c>
      <c r="DM50" s="664">
        <f t="shared" si="39"/>
        <v>22.629817784256559</v>
      </c>
      <c r="DN50" s="331">
        <f t="shared" si="11"/>
        <v>22.629817784256559</v>
      </c>
      <c r="DO50" s="828" t="e">
        <f t="shared" si="12"/>
        <v>#DIV/0!</v>
      </c>
      <c r="DP50" s="458"/>
      <c r="DQ50" s="263"/>
    </row>
    <row r="51" spans="1:124" ht="12.75" customHeight="1" outlineLevel="1" x14ac:dyDescent="0.25">
      <c r="A51" s="204"/>
      <c r="B51" s="90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86">
        <v>0</v>
      </c>
      <c r="DI51" s="664">
        <v>0</v>
      </c>
      <c r="DJ51" s="664">
        <v>0</v>
      </c>
      <c r="DK51" s="664">
        <v>0</v>
      </c>
      <c r="DL51" s="664">
        <v>155.24055000000001</v>
      </c>
      <c r="DM51" s="664">
        <v>155.24055000000001</v>
      </c>
      <c r="DN51" s="331">
        <f t="shared" si="11"/>
        <v>155.24055000000001</v>
      </c>
      <c r="DO51" s="828" t="e">
        <f t="shared" si="12"/>
        <v>#DIV/0!</v>
      </c>
      <c r="DP51" s="458"/>
      <c r="DQ51" s="263"/>
    </row>
    <row r="52" spans="1:124" ht="12.75" customHeight="1" outlineLevel="1" thickBot="1" x14ac:dyDescent="0.3">
      <c r="A52" s="204"/>
      <c r="B52" s="907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745">
        <v>0</v>
      </c>
      <c r="DI52" s="880">
        <v>0</v>
      </c>
      <c r="DJ52" s="880">
        <v>0</v>
      </c>
      <c r="DK52" s="746">
        <v>0</v>
      </c>
      <c r="DL52" s="746">
        <v>0</v>
      </c>
      <c r="DM52" s="746">
        <v>0</v>
      </c>
      <c r="DN52" s="529">
        <f t="shared" si="11"/>
        <v>0</v>
      </c>
      <c r="DO52" s="829" t="e">
        <f t="shared" si="12"/>
        <v>#DIV/0!</v>
      </c>
      <c r="DP52" s="458"/>
      <c r="DQ52" s="263"/>
    </row>
    <row r="53" spans="1:124" x14ac:dyDescent="0.25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5.6" x14ac:dyDescent="0.25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396">
        <v>24199.819326439196</v>
      </c>
      <c r="DI54" s="404">
        <v>24176.584574026663</v>
      </c>
      <c r="DJ54" s="404">
        <v>24232.393483666609</v>
      </c>
      <c r="DK54" s="404">
        <v>24299.146381784678</v>
      </c>
      <c r="DL54" s="404">
        <v>24443.616398477105</v>
      </c>
      <c r="DM54" s="404">
        <v>24616.213387775933</v>
      </c>
      <c r="DN54" s="331">
        <f>DM54-DH54</f>
        <v>416.39406133673765</v>
      </c>
      <c r="DO54" s="715">
        <f>(+(DM54/DH54-1))*100</f>
        <v>1.7206494632040936</v>
      </c>
      <c r="DP54" s="695"/>
      <c r="DQ54" s="790"/>
      <c r="DR54" s="200"/>
    </row>
    <row r="55" spans="1:124" ht="13.8" x14ac:dyDescent="0.25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75">
        <v>85.175036314154923</v>
      </c>
      <c r="DI55" s="663">
        <v>85.175110499338146</v>
      </c>
      <c r="DJ55" s="663">
        <v>85.194916583811136</v>
      </c>
      <c r="DK55" s="663">
        <v>85.201927059296736</v>
      </c>
      <c r="DL55" s="663">
        <v>85.286912155314397</v>
      </c>
      <c r="DM55" s="663">
        <v>85.263969739193072</v>
      </c>
      <c r="DN55" s="331">
        <f>DM55-DH55</f>
        <v>8.8933425038149494E-2</v>
      </c>
      <c r="DO55" s="715"/>
      <c r="DP55" s="695"/>
      <c r="DQ55" s="603" t="s">
        <v>233</v>
      </c>
      <c r="DR55" s="200"/>
    </row>
    <row r="56" spans="1:124" ht="12.75" customHeight="1" x14ac:dyDescent="0.25">
      <c r="A56" s="204"/>
      <c r="B56" s="90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396">
        <v>23048.87343431238</v>
      </c>
      <c r="DI56" s="404">
        <v>23022.85101336486</v>
      </c>
      <c r="DJ56" s="404">
        <v>23077.489106379438</v>
      </c>
      <c r="DK56" s="404">
        <v>23143.339846764276</v>
      </c>
      <c r="DL56" s="404">
        <v>23287.064702808013</v>
      </c>
      <c r="DM56" s="404">
        <v>23471.493200048535</v>
      </c>
      <c r="DN56" s="331">
        <f>DM56-DH56</f>
        <v>422.61976573615539</v>
      </c>
      <c r="DO56" s="715">
        <f>(+(DM56/DH56-1))*100</f>
        <v>1.8335810075082115</v>
      </c>
      <c r="DP56" s="695"/>
      <c r="DQ56" s="789"/>
      <c r="DR56" s="792"/>
    </row>
    <row r="57" spans="1:124" ht="12.75" customHeight="1" x14ac:dyDescent="0.25">
      <c r="A57" s="204"/>
      <c r="B57" s="90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75">
        <v>84.682545272225369</v>
      </c>
      <c r="DI57" s="663">
        <v>84.683901765627297</v>
      </c>
      <c r="DJ57" s="663">
        <v>84.699016013027006</v>
      </c>
      <c r="DK57" s="663">
        <v>84.703108811402302</v>
      </c>
      <c r="DL57" s="663">
        <v>84.790732196406907</v>
      </c>
      <c r="DM57" s="663">
        <v>84.817731481146694</v>
      </c>
      <c r="DN57" s="331">
        <f>DM57-DH57</f>
        <v>0.1351862089213256</v>
      </c>
      <c r="DO57" s="715"/>
      <c r="DP57" s="695"/>
      <c r="DQ57" s="790"/>
      <c r="DR57" s="792"/>
    </row>
    <row r="58" spans="1:124" ht="3" customHeight="1" x14ac:dyDescent="0.25">
      <c r="A58" s="204"/>
      <c r="B58" s="90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5">
      <c r="A59" s="204"/>
      <c r="B59" s="90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396">
        <v>4628.1602354481211</v>
      </c>
      <c r="DI59" s="404">
        <v>4620.5168999962261</v>
      </c>
      <c r="DJ59" s="404">
        <v>4639.8282901930197</v>
      </c>
      <c r="DK59" s="404">
        <v>4647.9295217236304</v>
      </c>
      <c r="DL59" s="404">
        <v>4696.0009203868958</v>
      </c>
      <c r="DM59" s="404">
        <v>4814.5743723781497</v>
      </c>
      <c r="DN59" s="331">
        <f>DM59-DH59</f>
        <v>186.41413693002869</v>
      </c>
      <c r="DO59" s="715">
        <f>(+(DM59/DH59-1))*100</f>
        <v>4.0278237452161081</v>
      </c>
      <c r="DP59" s="695"/>
      <c r="DQ59" s="791"/>
      <c r="DR59" s="792"/>
    </row>
    <row r="60" spans="1:124" x14ac:dyDescent="0.25">
      <c r="A60" s="204"/>
      <c r="B60" s="90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f>100*0.74100573520526</f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75">
        <v>77.768093121233008</v>
      </c>
      <c r="DI60" s="663">
        <v>77.708876061226391</v>
      </c>
      <c r="DJ60" s="663">
        <v>77.732074053297424</v>
      </c>
      <c r="DK60" s="663">
        <v>77.749818421869321</v>
      </c>
      <c r="DL60" s="663">
        <v>77.913447651224587</v>
      </c>
      <c r="DM60" s="663">
        <v>77.760900160433181</v>
      </c>
      <c r="DN60" s="331">
        <f>DM60-DH60</f>
        <v>-7.1929607998271194E-3</v>
      </c>
      <c r="DO60" s="715"/>
      <c r="DP60" s="695"/>
      <c r="DQ60" s="791"/>
      <c r="DR60" s="791"/>
      <c r="DS60" s="791"/>
      <c r="DT60" s="791"/>
    </row>
    <row r="61" spans="1:124" ht="3" customHeight="1" x14ac:dyDescent="0.25">
      <c r="A61" s="204"/>
      <c r="B61" s="90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5">
      <c r="A62" s="204"/>
      <c r="B62" s="90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396">
        <v>7112.0516582931878</v>
      </c>
      <c r="DI62" s="404">
        <v>7093.793251449164</v>
      </c>
      <c r="DJ62" s="404">
        <v>7111.5722588602439</v>
      </c>
      <c r="DK62" s="404">
        <v>7169.0832726678218</v>
      </c>
      <c r="DL62" s="404">
        <v>7231.034100969574</v>
      </c>
      <c r="DM62" s="404">
        <v>7314.0163602844432</v>
      </c>
      <c r="DN62" s="331">
        <f>DM62-DH62</f>
        <v>201.96470199125542</v>
      </c>
      <c r="DO62" s="715">
        <f>(+(DM62/DH62-1))*100</f>
        <v>2.8397530233874146</v>
      </c>
      <c r="DP62" s="695"/>
      <c r="DQ62" s="791"/>
      <c r="DR62" s="792"/>
    </row>
    <row r="63" spans="1:124" x14ac:dyDescent="0.25">
      <c r="A63" s="204"/>
      <c r="B63" s="90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f>100*0.800688348083885</f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75">
        <v>76.304109255782208</v>
      </c>
      <c r="DI63" s="663">
        <v>76.316839376025357</v>
      </c>
      <c r="DJ63" s="663">
        <v>76.401533031378818</v>
      </c>
      <c r="DK63" s="663">
        <v>76.532253726066372</v>
      </c>
      <c r="DL63" s="663">
        <v>76.664573537200795</v>
      </c>
      <c r="DM63" s="663">
        <v>76.98064298814306</v>
      </c>
      <c r="DN63" s="331">
        <f>DM63-DH63</f>
        <v>0.67653373236085201</v>
      </c>
      <c r="DO63" s="715"/>
      <c r="DP63" s="695"/>
      <c r="DQ63" s="791"/>
      <c r="DR63" s="792"/>
    </row>
    <row r="64" spans="1:124" ht="3.75" customHeight="1" x14ac:dyDescent="0.25">
      <c r="A64" s="204"/>
      <c r="B64" s="90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5">
      <c r="A65" s="204"/>
      <c r="B65" s="90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396">
        <v>10446.342549772589</v>
      </c>
      <c r="DI65" s="404">
        <v>10446.739020460636</v>
      </c>
      <c r="DJ65" s="404">
        <v>10464.094490966467</v>
      </c>
      <c r="DK65" s="404">
        <v>10465.850853284253</v>
      </c>
      <c r="DL65" s="404">
        <v>10498.031802319239</v>
      </c>
      <c r="DM65" s="404">
        <v>10495.218350951889</v>
      </c>
      <c r="DN65" s="331">
        <f>DM65-DH65</f>
        <v>48.875801179299742</v>
      </c>
      <c r="DO65" s="715">
        <f>(+(DM65/DH65-1))*100</f>
        <v>0.46787477001091204</v>
      </c>
      <c r="DP65" s="695"/>
      <c r="DQ65" s="791"/>
      <c r="DR65" s="792"/>
    </row>
    <row r="66" spans="1:122" x14ac:dyDescent="0.25">
      <c r="A66" s="204"/>
      <c r="B66" s="90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f>100*0.923660796148687</f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75">
        <v>94.849389516255613</v>
      </c>
      <c r="DI66" s="663">
        <v>94.856006923468073</v>
      </c>
      <c r="DJ66" s="663">
        <v>94.81411789328547</v>
      </c>
      <c r="DK66" s="663">
        <v>94.786827853030189</v>
      </c>
      <c r="DL66" s="663">
        <v>94.803647691904402</v>
      </c>
      <c r="DM66" s="663">
        <v>94.804692484903185</v>
      </c>
      <c r="DN66" s="331">
        <f>DM66-DH66</f>
        <v>-4.469703135242753E-2</v>
      </c>
      <c r="DO66" s="715"/>
      <c r="DP66" s="695"/>
      <c r="DQ66" s="791"/>
      <c r="DR66" s="792"/>
    </row>
    <row r="67" spans="1:122" ht="3" customHeight="1" x14ac:dyDescent="0.25">
      <c r="A67" s="204"/>
      <c r="B67" s="90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5">
      <c r="A68" s="204"/>
      <c r="B68" s="90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396">
        <v>862.31899079848222</v>
      </c>
      <c r="DI68" s="404">
        <v>861.80184145883186</v>
      </c>
      <c r="DJ68" s="404">
        <v>861.99406635970638</v>
      </c>
      <c r="DK68" s="404">
        <v>860.4761990885695</v>
      </c>
      <c r="DL68" s="404">
        <v>861.99787913230125</v>
      </c>
      <c r="DM68" s="404">
        <v>847.68411643405022</v>
      </c>
      <c r="DN68" s="331">
        <f>DM68-DH68</f>
        <v>-14.634874364431994</v>
      </c>
      <c r="DO68" s="715">
        <f>(+(DM68/DH68-1))*100</f>
        <v>-1.6971532020743862</v>
      </c>
      <c r="DP68" s="695"/>
      <c r="DQ68" s="791"/>
      <c r="DR68" s="792"/>
    </row>
    <row r="69" spans="1:122" ht="12.75" customHeight="1" x14ac:dyDescent="0.25">
      <c r="A69" s="204"/>
      <c r="B69" s="90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f>100*0.786890876318575</f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75">
        <v>79.687521051656134</v>
      </c>
      <c r="DI69" s="663">
        <v>79.712925960403965</v>
      </c>
      <c r="DJ69" s="663">
        <v>79.66149634283407</v>
      </c>
      <c r="DK69" s="663">
        <v>79.563974905336849</v>
      </c>
      <c r="DL69" s="663">
        <v>79.555653459013953</v>
      </c>
      <c r="DM69" s="663">
        <v>80.55895336638676</v>
      </c>
      <c r="DN69" s="331">
        <f>DM69-DH69</f>
        <v>0.87143231473062599</v>
      </c>
      <c r="DO69" s="715"/>
      <c r="DP69" s="695"/>
      <c r="DQ69" s="791"/>
      <c r="DR69" s="792"/>
    </row>
    <row r="70" spans="1:122" s="417" customFormat="1" ht="4.5" customHeight="1" x14ac:dyDescent="0.25">
      <c r="A70" s="204"/>
      <c r="B70" s="90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5">
      <c r="A71" s="204"/>
      <c r="B71" s="90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396">
        <v>4290.5261199888309</v>
      </c>
      <c r="DI71" s="404">
        <v>4356.4470771042888</v>
      </c>
      <c r="DJ71" s="404">
        <v>4254.573520662605</v>
      </c>
      <c r="DK71" s="404">
        <v>4259.0807922351532</v>
      </c>
      <c r="DL71" s="404">
        <v>4392.2217545082403</v>
      </c>
      <c r="DM71" s="404">
        <v>4582.634178621267</v>
      </c>
      <c r="DN71" s="331">
        <f t="shared" ref="DN71:DN82" si="41">DM71-DH71</f>
        <v>292.10805863243604</v>
      </c>
      <c r="DO71" s="715">
        <f t="shared" ref="DO71:DO82" si="42">(+(DM71/DH71-1))*100</f>
        <v>6.8082107057116925</v>
      </c>
      <c r="DP71" s="458"/>
      <c r="DQ71" s="789"/>
      <c r="DR71" s="792"/>
    </row>
    <row r="72" spans="1:122" x14ac:dyDescent="0.25">
      <c r="A72" s="204"/>
      <c r="B72" s="90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396">
        <v>1636.6913223002914</v>
      </c>
      <c r="DI72" s="404">
        <v>1607.0030358476677</v>
      </c>
      <c r="DJ72" s="404">
        <v>1591.6958116537903</v>
      </c>
      <c r="DK72" s="404">
        <v>1586.5938800218657</v>
      </c>
      <c r="DL72" s="404">
        <v>1687.4815614795921</v>
      </c>
      <c r="DM72" s="404">
        <v>1908.3136565714285</v>
      </c>
      <c r="DN72" s="331">
        <f t="shared" si="41"/>
        <v>271.62233427113711</v>
      </c>
      <c r="DO72" s="715">
        <f t="shared" si="42"/>
        <v>16.595819295319835</v>
      </c>
      <c r="DP72" s="458"/>
      <c r="DQ72" s="603"/>
      <c r="DR72" s="269"/>
    </row>
    <row r="73" spans="1:122" ht="14.4" x14ac:dyDescent="0.3">
      <c r="A73" s="204"/>
      <c r="B73" s="90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396">
        <v>499.92796641518066</v>
      </c>
      <c r="DI73" s="404">
        <v>499.94120105479595</v>
      </c>
      <c r="DJ73" s="404">
        <v>503.22691614221986</v>
      </c>
      <c r="DK73" s="404">
        <v>503.23200666775938</v>
      </c>
      <c r="DL73" s="404">
        <v>503.21542142666607</v>
      </c>
      <c r="DM73" s="404">
        <v>503.21956061535417</v>
      </c>
      <c r="DN73" s="331">
        <f t="shared" si="41"/>
        <v>3.2915942001735061</v>
      </c>
      <c r="DO73" s="715">
        <f t="shared" si="42"/>
        <v>0.65841369583230502</v>
      </c>
      <c r="DP73" s="458"/>
      <c r="DQ73" s="603"/>
      <c r="DR73" s="625"/>
    </row>
    <row r="74" spans="1:122" ht="14.4" x14ac:dyDescent="0.3">
      <c r="A74" s="204"/>
      <c r="B74" s="90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396">
        <v>708.5205616033586</v>
      </c>
      <c r="DI74" s="404">
        <v>804.02495821182504</v>
      </c>
      <c r="DJ74" s="404">
        <v>721.79958657659495</v>
      </c>
      <c r="DK74" s="404">
        <v>731.34447124552798</v>
      </c>
      <c r="DL74" s="404">
        <v>763.73150284198266</v>
      </c>
      <c r="DM74" s="404">
        <v>733.23822219448391</v>
      </c>
      <c r="DN74" s="331">
        <f t="shared" si="41"/>
        <v>24.717660591125309</v>
      </c>
      <c r="DO74" s="715">
        <f t="shared" si="42"/>
        <v>3.4886299608849924</v>
      </c>
      <c r="DP74" s="458"/>
      <c r="DQ74" s="603"/>
      <c r="DR74" s="625"/>
    </row>
    <row r="75" spans="1:122" ht="14.4" x14ac:dyDescent="0.3">
      <c r="A75" s="204"/>
      <c r="B75" s="90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396">
        <v>1445.3862696699998</v>
      </c>
      <c r="DI75" s="404">
        <v>1445.4778819900002</v>
      </c>
      <c r="DJ75" s="404">
        <v>1437.8512062900002</v>
      </c>
      <c r="DK75" s="404">
        <v>1437.9104343000001</v>
      </c>
      <c r="DL75" s="404">
        <v>1437.7932687599998</v>
      </c>
      <c r="DM75" s="404">
        <v>1437.8627392400001</v>
      </c>
      <c r="DN75" s="331">
        <f t="shared" si="41"/>
        <v>-7.5235304299997097</v>
      </c>
      <c r="DO75" s="715">
        <f t="shared" si="42"/>
        <v>-0.52052040259918941</v>
      </c>
      <c r="DP75" s="458"/>
      <c r="DQ75" s="603"/>
      <c r="DR75" s="625"/>
    </row>
    <row r="76" spans="1:122" ht="14.4" x14ac:dyDescent="0.3">
      <c r="A76" s="204"/>
      <c r="B76" s="90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396">
        <v>1010.9454970730092</v>
      </c>
      <c r="DI76" s="404">
        <v>1073.4901152945924</v>
      </c>
      <c r="DJ76" s="404">
        <v>971.09218891185208</v>
      </c>
      <c r="DK76" s="404">
        <v>976.5222252110367</v>
      </c>
      <c r="DL76" s="404">
        <v>1107.1540092747803</v>
      </c>
      <c r="DM76" s="404">
        <v>1296.4480848181386</v>
      </c>
      <c r="DN76" s="331">
        <f t="shared" si="41"/>
        <v>285.5025877451294</v>
      </c>
      <c r="DO76" s="715">
        <f t="shared" si="42"/>
        <v>28.241145400196665</v>
      </c>
      <c r="DP76" s="458"/>
      <c r="DQ76" s="603"/>
      <c r="DR76" s="625"/>
    </row>
    <row r="77" spans="1:122" x14ac:dyDescent="0.25">
      <c r="A77" s="204"/>
      <c r="B77" s="90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396">
        <v>800.23190812965061</v>
      </c>
      <c r="DI77" s="404">
        <v>765.84158262276719</v>
      </c>
      <c r="DJ77" s="404">
        <v>745.41809403525713</v>
      </c>
      <c r="DK77" s="404">
        <v>741.31112054550874</v>
      </c>
      <c r="DL77" s="404">
        <v>839.5737541827973</v>
      </c>
      <c r="DM77" s="404">
        <v>1059.4289427636547</v>
      </c>
      <c r="DN77" s="331">
        <f t="shared" si="41"/>
        <v>259.19703463400413</v>
      </c>
      <c r="DO77" s="715">
        <f t="shared" si="42"/>
        <v>32.390239879313839</v>
      </c>
      <c r="DP77" s="458"/>
      <c r="DQ77" s="603"/>
      <c r="DR77" s="269"/>
    </row>
    <row r="78" spans="1:122" x14ac:dyDescent="0.25">
      <c r="A78" s="204"/>
      <c r="B78" s="906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396">
        <v>210.71358894335862</v>
      </c>
      <c r="DI78" s="404">
        <v>307.64853267182519</v>
      </c>
      <c r="DJ78" s="404">
        <v>225.67409487659495</v>
      </c>
      <c r="DK78" s="404">
        <v>235.21110466552804</v>
      </c>
      <c r="DL78" s="404">
        <v>267.58025509198274</v>
      </c>
      <c r="DM78" s="404">
        <v>237.01914205448395</v>
      </c>
      <c r="DN78" s="331">
        <f t="shared" si="41"/>
        <v>26.305553111125334</v>
      </c>
      <c r="DO78" s="715">
        <f t="shared" si="42"/>
        <v>12.484032588043693</v>
      </c>
      <c r="DP78" s="458"/>
      <c r="DQ78" s="603"/>
      <c r="DR78" s="269"/>
    </row>
    <row r="79" spans="1:122" ht="12.75" hidden="1" customHeight="1" outlineLevel="1" x14ac:dyDescent="0.25">
      <c r="A79" s="204"/>
      <c r="B79" s="906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f t="shared" si="41"/>
        <v>0</v>
      </c>
      <c r="DO79" s="715" t="e">
        <f t="shared" si="42"/>
        <v>#DIV/0!</v>
      </c>
      <c r="DP79" s="458"/>
      <c r="DQ79" s="263"/>
      <c r="DR79" s="269"/>
    </row>
    <row r="80" spans="1:122" collapsed="1" x14ac:dyDescent="0.25">
      <c r="A80" s="204"/>
      <c r="B80" s="906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396">
        <v>21271.476450719976</v>
      </c>
      <c r="DI80" s="404">
        <v>21302.421631168956</v>
      </c>
      <c r="DJ80" s="404">
        <v>21349.033706499868</v>
      </c>
      <c r="DK80" s="404">
        <v>21407.433135199575</v>
      </c>
      <c r="DL80" s="404">
        <v>21501.403237527564</v>
      </c>
      <c r="DM80" s="404">
        <v>21482.364651020274</v>
      </c>
      <c r="DN80" s="331">
        <f t="shared" si="41"/>
        <v>210.88820030029819</v>
      </c>
      <c r="DO80" s="715">
        <f t="shared" si="42"/>
        <v>0.99141308215660029</v>
      </c>
      <c r="DP80" s="695"/>
      <c r="DQ80" s="695"/>
      <c r="DR80" s="269"/>
    </row>
    <row r="81" spans="1:122" ht="12.75" hidden="1" customHeight="1" x14ac:dyDescent="0.25">
      <c r="A81" s="204"/>
      <c r="B81" s="906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809"/>
      <c r="DI81" s="698"/>
      <c r="DJ81" s="698"/>
      <c r="DK81" s="698"/>
      <c r="DL81" s="698"/>
      <c r="DM81" s="698"/>
      <c r="DN81" s="331">
        <f t="shared" si="41"/>
        <v>0</v>
      </c>
      <c r="DO81" s="715" t="e">
        <f t="shared" si="42"/>
        <v>#DIV/0!</v>
      </c>
      <c r="DP81" s="695"/>
      <c r="DQ81" s="263"/>
      <c r="DR81" s="269"/>
    </row>
    <row r="82" spans="1:122" ht="13.8" thickBot="1" x14ac:dyDescent="0.3">
      <c r="A82" s="204"/>
      <c r="B82" s="906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757">
        <v>97.434668601339339</v>
      </c>
      <c r="DI82" s="881">
        <v>97.439480798653946</v>
      </c>
      <c r="DJ82" s="881">
        <v>97.447760106466475</v>
      </c>
      <c r="DK82" s="758">
        <v>97.454338543520223</v>
      </c>
      <c r="DL82" s="758">
        <v>97.467793388785267</v>
      </c>
      <c r="DM82" s="758">
        <v>97.469174028914466</v>
      </c>
      <c r="DN82" s="529">
        <f t="shared" si="41"/>
        <v>3.4505427575126646E-2</v>
      </c>
      <c r="DO82" s="733">
        <f t="shared" si="42"/>
        <v>3.5413911773352069E-2</v>
      </c>
      <c r="DP82" s="695"/>
      <c r="DQ82" s="790"/>
      <c r="DR82" s="269"/>
    </row>
    <row r="83" spans="1:122" x14ac:dyDescent="0.25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5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f t="shared" ref="J84:O84" si="43">+J85+0.1</f>
        <v>7.0699999999999994</v>
      </c>
      <c r="K84" s="123">
        <f t="shared" si="43"/>
        <v>7.0699999999999994</v>
      </c>
      <c r="L84" s="116">
        <f t="shared" si="43"/>
        <v>7.0699999999999994</v>
      </c>
      <c r="M84" s="117">
        <f t="shared" si="43"/>
        <v>7.0699999999999994</v>
      </c>
      <c r="N84" s="123">
        <f t="shared" si="43"/>
        <v>7.0699999999999994</v>
      </c>
      <c r="O84" s="123">
        <f t="shared" si="43"/>
        <v>7.0699999999999994</v>
      </c>
      <c r="P84" s="157">
        <v>7.07</v>
      </c>
      <c r="Q84" s="123">
        <f t="shared" ref="Q84:Y84" si="44">+Q85+0.1</f>
        <v>7.0699999999999994</v>
      </c>
      <c r="R84" s="123">
        <f t="shared" si="44"/>
        <v>7.0699999999999994</v>
      </c>
      <c r="S84" s="177">
        <f t="shared" si="44"/>
        <v>7.0699999999999994</v>
      </c>
      <c r="T84" s="177">
        <f t="shared" si="44"/>
        <v>7.0699999999999994</v>
      </c>
      <c r="U84" s="177">
        <f t="shared" si="44"/>
        <v>7.0699999999999994</v>
      </c>
      <c r="V84" s="177">
        <f t="shared" si="44"/>
        <v>7.0699999999999994</v>
      </c>
      <c r="W84" s="177">
        <f t="shared" si="44"/>
        <v>7.0699999999999994</v>
      </c>
      <c r="X84" s="177">
        <f t="shared" si="44"/>
        <v>7.0699999999999994</v>
      </c>
      <c r="Y84" s="177">
        <f t="shared" si="44"/>
        <v>7.0699999999999994</v>
      </c>
      <c r="Z84" s="177">
        <f t="shared" ref="Z84:AH84" si="45">+Z85+0.1</f>
        <v>7.0699999999999994</v>
      </c>
      <c r="AA84" s="177">
        <f t="shared" si="45"/>
        <v>7.0699999999999994</v>
      </c>
      <c r="AB84" s="177">
        <f t="shared" si="45"/>
        <v>7.06</v>
      </c>
      <c r="AC84" s="177">
        <f t="shared" si="45"/>
        <v>7.04</v>
      </c>
      <c r="AD84" s="177">
        <f t="shared" si="45"/>
        <v>7.04</v>
      </c>
      <c r="AE84" s="177">
        <f t="shared" si="45"/>
        <v>7.02</v>
      </c>
      <c r="AF84" s="177">
        <f t="shared" si="45"/>
        <v>7</v>
      </c>
      <c r="AG84" s="177">
        <f t="shared" si="45"/>
        <v>6.9899999999999993</v>
      </c>
      <c r="AH84" s="177">
        <f t="shared" si="45"/>
        <v>6.9899999999999993</v>
      </c>
      <c r="AI84" s="177">
        <f>+AI85+0.1</f>
        <v>6.9799999999999995</v>
      </c>
      <c r="AJ84" s="177">
        <f>+AJ85+0.1</f>
        <v>6.97</v>
      </c>
      <c r="AK84" s="177">
        <v>6.97</v>
      </c>
      <c r="AL84" s="177">
        <f t="shared" ref="AL84:BQ84" si="46">+AL85+0.1</f>
        <v>6.97</v>
      </c>
      <c r="AM84" s="177">
        <f t="shared" si="46"/>
        <v>6.97</v>
      </c>
      <c r="AN84" s="177">
        <f t="shared" si="46"/>
        <v>6.96</v>
      </c>
      <c r="AO84" s="177">
        <f t="shared" si="46"/>
        <v>6.96</v>
      </c>
      <c r="AP84" s="177">
        <f t="shared" si="46"/>
        <v>6.96</v>
      </c>
      <c r="AQ84" s="177">
        <f t="shared" si="46"/>
        <v>6.96</v>
      </c>
      <c r="AR84" s="177">
        <f t="shared" si="46"/>
        <v>6.96</v>
      </c>
      <c r="AS84" s="177">
        <f t="shared" si="46"/>
        <v>6.96</v>
      </c>
      <c r="AT84" s="177">
        <f t="shared" si="46"/>
        <v>6.96</v>
      </c>
      <c r="AU84" s="317">
        <f t="shared" si="46"/>
        <v>6.96</v>
      </c>
      <c r="AV84" s="344">
        <f t="shared" si="46"/>
        <v>6.96</v>
      </c>
      <c r="AW84" s="177">
        <f t="shared" si="46"/>
        <v>6.96</v>
      </c>
      <c r="AX84" s="177">
        <f t="shared" si="46"/>
        <v>6.96</v>
      </c>
      <c r="AY84" s="177">
        <f t="shared" si="46"/>
        <v>6.96</v>
      </c>
      <c r="AZ84" s="177">
        <f t="shared" si="46"/>
        <v>6.96</v>
      </c>
      <c r="BA84" s="177">
        <f t="shared" si="46"/>
        <v>6.96</v>
      </c>
      <c r="BB84" s="177">
        <f t="shared" si="46"/>
        <v>6.96</v>
      </c>
      <c r="BC84" s="177">
        <f t="shared" si="46"/>
        <v>6.96</v>
      </c>
      <c r="BD84" s="177">
        <f t="shared" si="46"/>
        <v>6.96</v>
      </c>
      <c r="BE84" s="177">
        <f t="shared" si="46"/>
        <v>6.96</v>
      </c>
      <c r="BF84" s="177">
        <f t="shared" si="46"/>
        <v>6.96</v>
      </c>
      <c r="BG84" s="177">
        <f t="shared" si="46"/>
        <v>6.96</v>
      </c>
      <c r="BH84" s="177">
        <f t="shared" si="46"/>
        <v>6.96</v>
      </c>
      <c r="BI84" s="177">
        <f t="shared" si="46"/>
        <v>6.96</v>
      </c>
      <c r="BJ84" s="177">
        <f t="shared" si="46"/>
        <v>6.96</v>
      </c>
      <c r="BK84" s="177">
        <f t="shared" si="46"/>
        <v>6.96</v>
      </c>
      <c r="BL84" s="394">
        <f t="shared" si="46"/>
        <v>6.96</v>
      </c>
      <c r="BM84" s="177">
        <f t="shared" si="46"/>
        <v>6.96</v>
      </c>
      <c r="BN84" s="317">
        <f t="shared" si="46"/>
        <v>6.96</v>
      </c>
      <c r="BO84" s="317">
        <f t="shared" si="46"/>
        <v>6.96</v>
      </c>
      <c r="BP84" s="317">
        <f t="shared" si="46"/>
        <v>6.96</v>
      </c>
      <c r="BQ84" s="317">
        <f t="shared" si="46"/>
        <v>6.96</v>
      </c>
      <c r="BR84" s="317">
        <f t="shared" ref="BR84:CM84" si="47">+BR85+0.1</f>
        <v>6.96</v>
      </c>
      <c r="BS84" s="401">
        <f t="shared" si="47"/>
        <v>6.96</v>
      </c>
      <c r="BT84" s="317">
        <f t="shared" si="47"/>
        <v>6.96</v>
      </c>
      <c r="BU84" s="402">
        <f t="shared" si="47"/>
        <v>6.96</v>
      </c>
      <c r="BV84" s="402">
        <f t="shared" si="47"/>
        <v>6.96</v>
      </c>
      <c r="BW84" s="402">
        <f t="shared" si="47"/>
        <v>6.96</v>
      </c>
      <c r="BX84" s="402">
        <f t="shared" si="47"/>
        <v>6.96</v>
      </c>
      <c r="BY84" s="317">
        <f t="shared" si="47"/>
        <v>6.96</v>
      </c>
      <c r="BZ84" s="402">
        <f t="shared" si="47"/>
        <v>6.96</v>
      </c>
      <c r="CA84" s="317">
        <f t="shared" si="47"/>
        <v>6.96</v>
      </c>
      <c r="CB84" s="317">
        <f t="shared" si="47"/>
        <v>6.96</v>
      </c>
      <c r="CC84" s="402">
        <f t="shared" si="47"/>
        <v>6.96</v>
      </c>
      <c r="CD84" s="402">
        <f t="shared" si="47"/>
        <v>6.96</v>
      </c>
      <c r="CE84" s="317">
        <f t="shared" si="47"/>
        <v>6.96</v>
      </c>
      <c r="CF84" s="317">
        <f t="shared" si="47"/>
        <v>6.96</v>
      </c>
      <c r="CG84" s="317">
        <f t="shared" si="47"/>
        <v>6.96</v>
      </c>
      <c r="CH84" s="317">
        <f t="shared" si="47"/>
        <v>6.96</v>
      </c>
      <c r="CI84" s="317">
        <f t="shared" si="47"/>
        <v>6.96</v>
      </c>
      <c r="CJ84" s="317">
        <f t="shared" si="47"/>
        <v>6.96</v>
      </c>
      <c r="CK84" s="317">
        <f t="shared" si="47"/>
        <v>6.96</v>
      </c>
      <c r="CL84" s="650">
        <f t="shared" si="47"/>
        <v>6.96</v>
      </c>
      <c r="CM84" s="650">
        <f t="shared" si="47"/>
        <v>6.96</v>
      </c>
      <c r="CN84" s="650">
        <v>6.96</v>
      </c>
      <c r="CO84" s="650">
        <v>6.96</v>
      </c>
      <c r="CP84" s="688">
        <f>+CP85+0.1</f>
        <v>6.96</v>
      </c>
      <c r="CQ84" s="688">
        <f>+CQ85+0.1</f>
        <v>6.96</v>
      </c>
      <c r="CR84" s="650">
        <f>+CR85+0.1</f>
        <v>6.96</v>
      </c>
      <c r="CS84" s="688">
        <f>+CS85+0.1</f>
        <v>6.96</v>
      </c>
      <c r="CT84" s="710">
        <v>6.96</v>
      </c>
      <c r="CU84" s="688">
        <f>+CU85+0.1</f>
        <v>6.96</v>
      </c>
      <c r="CV84" s="688">
        <f>+CV85+0.1</f>
        <v>6.96</v>
      </c>
      <c r="CW84" s="688">
        <f>+CW85+0.1</f>
        <v>6.96</v>
      </c>
      <c r="CX84" s="688">
        <f>+CX85+0.1</f>
        <v>6.96</v>
      </c>
      <c r="CY84" s="650">
        <f t="shared" ref="CY84:DM84" si="48">+CY85+0.1</f>
        <v>6.96</v>
      </c>
      <c r="CZ84" s="650">
        <f t="shared" si="48"/>
        <v>6.96</v>
      </c>
      <c r="DA84" s="688">
        <f t="shared" si="48"/>
        <v>6.96</v>
      </c>
      <c r="DB84" s="688">
        <f t="shared" si="48"/>
        <v>6.96</v>
      </c>
      <c r="DC84" s="688">
        <f t="shared" si="48"/>
        <v>6.96</v>
      </c>
      <c r="DD84" s="688">
        <f t="shared" si="48"/>
        <v>6.96</v>
      </c>
      <c r="DE84" s="688">
        <f t="shared" si="48"/>
        <v>6.96</v>
      </c>
      <c r="DF84" s="700">
        <f t="shared" si="48"/>
        <v>6.96</v>
      </c>
      <c r="DG84" s="688">
        <f t="shared" si="48"/>
        <v>6.96</v>
      </c>
      <c r="DH84" s="688">
        <f t="shared" si="48"/>
        <v>6.96</v>
      </c>
      <c r="DI84" s="700">
        <f t="shared" si="48"/>
        <v>6.96</v>
      </c>
      <c r="DJ84" s="700">
        <f t="shared" si="48"/>
        <v>6.96</v>
      </c>
      <c r="DK84" s="700">
        <f t="shared" si="48"/>
        <v>6.96</v>
      </c>
      <c r="DL84" s="700">
        <f t="shared" si="48"/>
        <v>6.96</v>
      </c>
      <c r="DM84" s="700">
        <f t="shared" si="48"/>
        <v>6.96</v>
      </c>
      <c r="DN84" s="331">
        <f>DM84-DH84</f>
        <v>0</v>
      </c>
      <c r="DO84" s="715">
        <f>(+(DM84/DH84-1))*100</f>
        <v>0</v>
      </c>
      <c r="DP84" s="458"/>
      <c r="DQ84" s="263"/>
      <c r="DR84" s="269"/>
    </row>
    <row r="85" spans="1:122" x14ac:dyDescent="0.25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f>DM85-DH85</f>
        <v>0</v>
      </c>
      <c r="DO85" s="715">
        <f>(+(DM85/DH85-1))*100</f>
        <v>0</v>
      </c>
      <c r="DP85" s="458"/>
      <c r="DQ85" s="263"/>
      <c r="DR85" s="269"/>
    </row>
    <row r="86" spans="1:122" ht="13.5" customHeight="1" thickBot="1" x14ac:dyDescent="0.3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480">
        <v>6.956082664045895</v>
      </c>
      <c r="DI86" s="578">
        <v>6.9619261130712022</v>
      </c>
      <c r="DJ86" s="578">
        <v>6.9634784302770196</v>
      </c>
      <c r="DK86" s="578">
        <v>6.9692365687833124</v>
      </c>
      <c r="DL86" s="578">
        <v>6.9651717592029092</v>
      </c>
      <c r="DM86" s="578">
        <v>6.9570146719047186</v>
      </c>
      <c r="DN86" s="331">
        <f>DM86-DH86</f>
        <v>9.3200785882352477E-4</v>
      </c>
      <c r="DO86" s="715">
        <f>(+(DM86/DH86-1))*100</f>
        <v>1.339845864167799E-2</v>
      </c>
      <c r="DP86" s="695"/>
      <c r="DQ86" s="263"/>
      <c r="DR86" s="269"/>
    </row>
    <row r="87" spans="1:122" ht="12.75" customHeight="1" thickBot="1" x14ac:dyDescent="0.3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885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3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f>+[127]MACRO!$I$1</f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f>+[79]MACRO!$I$1</f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3">
        <v>2.2110699999999999</v>
      </c>
      <c r="DG88" s="886">
        <v>2.2121200000000001</v>
      </c>
      <c r="DH88" s="886">
        <v>2.2131699999999999</v>
      </c>
      <c r="DI88" s="701">
        <v>2.2136200000000001</v>
      </c>
      <c r="DJ88" s="701">
        <v>2.2137699999999998</v>
      </c>
      <c r="DK88" s="701">
        <v>2.2139199999999999</v>
      </c>
      <c r="DL88" s="701">
        <v>2.21407</v>
      </c>
      <c r="DM88" s="701">
        <v>2.2142300000000001</v>
      </c>
      <c r="DN88" s="331">
        <f>DM88-DH88</f>
        <v>1.0600000000002829E-3</v>
      </c>
      <c r="DO88" s="715">
        <f>(+(DM88/DH88-1))*100</f>
        <v>4.789510069267422E-2</v>
      </c>
      <c r="DP88" s="458"/>
      <c r="DQ88" s="603"/>
      <c r="DR88" s="269"/>
    </row>
    <row r="89" spans="1:122" ht="12.75" customHeight="1" thickBot="1" x14ac:dyDescent="0.3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885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5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3">
      <c r="A91" s="204"/>
      <c r="B91" s="905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11">
        <v>1079.9276894472505</v>
      </c>
      <c r="DI91" s="882">
        <v>1079.9276894472505</v>
      </c>
      <c r="DJ91" s="882">
        <v>1079.9276894472505</v>
      </c>
      <c r="DK91" s="813">
        <v>1079.9276894472505</v>
      </c>
      <c r="DL91" s="813">
        <v>1079.9276894472505</v>
      </c>
      <c r="DM91" s="813">
        <v>1120.6303623646254</v>
      </c>
      <c r="DN91" s="331">
        <f>DM91-DH91</f>
        <v>40.702672917374912</v>
      </c>
      <c r="DO91" s="715">
        <f>(+(DM91/DH91-1))*100</f>
        <v>3.7690183625357587</v>
      </c>
      <c r="DP91" s="695"/>
      <c r="DQ91" s="603"/>
      <c r="DR91" s="269"/>
    </row>
    <row r="92" spans="1:122" x14ac:dyDescent="0.25">
      <c r="A92" s="204"/>
      <c r="B92" s="905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5">
      <c r="A93" s="204"/>
      <c r="B93" s="90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887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5">
      <c r="A94" s="204"/>
      <c r="B94" s="90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887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5">
      <c r="A95" s="204"/>
      <c r="B95" s="90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887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5">
      <c r="A96" s="204"/>
      <c r="B96" s="90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887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5">
      <c r="A97" s="204"/>
      <c r="B97" s="90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887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5">
      <c r="A98" s="204"/>
      <c r="B98" s="90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f>(0.581731519168357/100)*100</f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887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5">
      <c r="A99" s="204"/>
      <c r="B99" s="90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f>(4.33684902269107/100)*100</f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887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5">
      <c r="A100" s="204"/>
      <c r="B100" s="90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f>(4.33684902269107/100)*100</f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887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5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f>(0.000838959696703555)*100</f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887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5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887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5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887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3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8"/>
      <c r="DI104" s="883"/>
      <c r="DJ104" s="883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5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5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3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690">
        <v>4</v>
      </c>
      <c r="DI107" s="884">
        <v>4</v>
      </c>
      <c r="DJ107" s="884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3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3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12"/>
      <c r="DO109" s="912"/>
      <c r="DP109" s="346"/>
      <c r="DQ109" s="263"/>
    </row>
    <row r="110" spans="1:121" ht="13.5" customHeight="1" x14ac:dyDescent="0.3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3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3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3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3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3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5.6" x14ac:dyDescent="0.3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5.6" x14ac:dyDescent="0.3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3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3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3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3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3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3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5.6" x14ac:dyDescent="0.3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3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3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3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3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3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5.6" x14ac:dyDescent="0.3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ht="13.8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ht="13.8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ht="13.8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ht="13.8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ht="13.8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ht="13.8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ht="13.8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ht="13.8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ht="13.8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ht="13.8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ht="13.8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ht="13.8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ht="13.8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ht="13.8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ht="13.8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ht="13.8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ht="13.8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ht="13.8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ht="13.8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ht="13.8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ht="13.8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ht="13.8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ht="13.8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ht="13.8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ht="13.8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ht="13.8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ht="13.8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ht="13.8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ht="13.8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ht="13.8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ht="13.8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ht="13.8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ht="13.8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ht="13.8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ht="13.8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ht="13.8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ht="13.8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ht="13.8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ht="13.8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ht="13.8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ht="13.8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ht="13.8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ht="13.8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ht="13.8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ht="13.8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ht="13.8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ht="13.8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ht="13.8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ht="13.8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ht="13.8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ht="13.8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ht="13.8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ht="13.8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ht="13.8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ht="13.8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ht="13.8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ht="13.8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ht="13.8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ht="13.8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ht="13.8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ht="13.8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ht="13.8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ht="13.8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ht="13.8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ht="13.8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ht="13.8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ht="13.8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ht="13.8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ht="13.8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ht="13.8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ht="13.8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5">
      <c r="E202" s="132"/>
      <c r="F202" s="132"/>
      <c r="G202" s="132"/>
      <c r="H202" s="132"/>
      <c r="I202" s="132"/>
      <c r="J202" s="132"/>
      <c r="K202" s="132"/>
    </row>
    <row r="203" spans="3:119" x14ac:dyDescent="0.25">
      <c r="E203" s="132"/>
      <c r="F203" s="132"/>
      <c r="G203" s="132"/>
      <c r="H203" s="132"/>
      <c r="I203" s="132"/>
      <c r="J203" s="132"/>
      <c r="K203" s="132"/>
    </row>
    <row r="204" spans="3:119" x14ac:dyDescent="0.25">
      <c r="E204" s="132"/>
      <c r="F204" s="132"/>
      <c r="G204" s="132"/>
      <c r="H204" s="132"/>
      <c r="I204" s="132"/>
      <c r="J204" s="132"/>
      <c r="K204" s="132"/>
    </row>
    <row r="205" spans="3:119" x14ac:dyDescent="0.25">
      <c r="E205" s="132"/>
      <c r="F205" s="132"/>
      <c r="G205" s="132"/>
      <c r="H205" s="132"/>
      <c r="I205" s="132"/>
      <c r="J205" s="132"/>
      <c r="K205" s="132"/>
    </row>
    <row r="206" spans="3:119" x14ac:dyDescent="0.25">
      <c r="E206" s="132"/>
      <c r="F206" s="132"/>
      <c r="G206" s="132"/>
      <c r="H206" s="132"/>
      <c r="I206" s="132"/>
      <c r="J206" s="132"/>
      <c r="K206" s="132"/>
    </row>
    <row r="207" spans="3:119" x14ac:dyDescent="0.25">
      <c r="E207" s="132"/>
      <c r="F207" s="132"/>
      <c r="G207" s="132"/>
      <c r="H207" s="132"/>
      <c r="I207" s="132"/>
      <c r="J207" s="132"/>
      <c r="K207" s="132"/>
    </row>
    <row r="208" spans="3:119" x14ac:dyDescent="0.25">
      <c r="E208" s="132"/>
      <c r="F208" s="132"/>
      <c r="G208" s="132"/>
      <c r="H208" s="132"/>
      <c r="I208" s="132"/>
      <c r="J208" s="132"/>
      <c r="K208" s="132"/>
    </row>
    <row r="209" spans="5:11" x14ac:dyDescent="0.25">
      <c r="E209" s="132"/>
      <c r="F209" s="132"/>
      <c r="G209" s="132"/>
      <c r="H209" s="132"/>
      <c r="I209" s="132"/>
      <c r="J209" s="132"/>
      <c r="K209" s="132"/>
    </row>
    <row r="210" spans="5:11" x14ac:dyDescent="0.25">
      <c r="E210" s="132"/>
      <c r="F210" s="132"/>
      <c r="G210" s="132"/>
      <c r="H210" s="132"/>
      <c r="I210" s="132"/>
      <c r="J210" s="132"/>
      <c r="K210" s="132"/>
    </row>
    <row r="211" spans="5:11" x14ac:dyDescent="0.25">
      <c r="E211" s="132"/>
      <c r="F211" s="132"/>
      <c r="G211" s="132"/>
      <c r="H211" s="132"/>
      <c r="I211" s="132"/>
      <c r="J211" s="132"/>
      <c r="K211" s="132"/>
    </row>
    <row r="212" spans="5:11" x14ac:dyDescent="0.25">
      <c r="E212" s="132"/>
      <c r="F212" s="132"/>
      <c r="G212" s="132"/>
      <c r="H212" s="132"/>
      <c r="I212" s="132"/>
      <c r="J212" s="132"/>
      <c r="K212" s="132"/>
    </row>
    <row r="213" spans="5:11" x14ac:dyDescent="0.25">
      <c r="E213" s="132"/>
      <c r="F213" s="132"/>
      <c r="G213" s="132"/>
      <c r="H213" s="132"/>
      <c r="I213" s="132"/>
      <c r="J213" s="132"/>
      <c r="K213" s="132"/>
    </row>
    <row r="214" spans="5:11" x14ac:dyDescent="0.25">
      <c r="E214" s="132"/>
      <c r="F214" s="132"/>
      <c r="G214" s="132"/>
      <c r="H214" s="132"/>
      <c r="I214" s="132"/>
      <c r="J214" s="132"/>
      <c r="K214" s="132"/>
    </row>
    <row r="215" spans="5:11" x14ac:dyDescent="0.25">
      <c r="E215" s="132"/>
      <c r="F215" s="132"/>
      <c r="G215" s="132"/>
      <c r="H215" s="132"/>
      <c r="I215" s="132"/>
      <c r="J215" s="132"/>
      <c r="K215" s="132"/>
    </row>
    <row r="216" spans="5:11" x14ac:dyDescent="0.25">
      <c r="E216" s="132"/>
      <c r="F216" s="132"/>
      <c r="G216" s="132"/>
      <c r="H216" s="132"/>
      <c r="I216" s="132"/>
      <c r="J216" s="132"/>
      <c r="K216" s="132"/>
    </row>
    <row r="217" spans="5:11" x14ac:dyDescent="0.25">
      <c r="E217" s="132"/>
      <c r="F217" s="132"/>
      <c r="G217" s="132"/>
      <c r="H217" s="132"/>
      <c r="I217" s="132"/>
      <c r="J217" s="132"/>
      <c r="K217" s="132"/>
    </row>
    <row r="218" spans="5:11" x14ac:dyDescent="0.25">
      <c r="E218" s="132"/>
      <c r="F218" s="132"/>
      <c r="G218" s="132"/>
      <c r="H218" s="132"/>
      <c r="I218" s="132"/>
      <c r="J218" s="132"/>
      <c r="K218" s="132"/>
    </row>
    <row r="219" spans="5:11" x14ac:dyDescent="0.25">
      <c r="E219" s="132"/>
      <c r="F219" s="132"/>
      <c r="G219" s="132"/>
      <c r="H219" s="132"/>
      <c r="I219" s="132"/>
      <c r="J219" s="132"/>
      <c r="K219" s="132"/>
    </row>
    <row r="220" spans="5:11" x14ac:dyDescent="0.25">
      <c r="E220" s="132"/>
      <c r="F220" s="132"/>
      <c r="G220" s="132"/>
      <c r="H220" s="132"/>
      <c r="I220" s="132"/>
      <c r="J220" s="132"/>
      <c r="K220" s="132"/>
    </row>
    <row r="221" spans="5:11" x14ac:dyDescent="0.25">
      <c r="E221" s="132"/>
      <c r="F221" s="132"/>
      <c r="G221" s="132"/>
      <c r="H221" s="132"/>
      <c r="I221" s="132"/>
      <c r="J221" s="132"/>
      <c r="K221" s="132"/>
    </row>
    <row r="222" spans="5:11" x14ac:dyDescent="0.25">
      <c r="E222" s="132"/>
      <c r="F222" s="132"/>
      <c r="G222" s="132"/>
      <c r="H222" s="132"/>
      <c r="I222" s="132"/>
      <c r="J222" s="132"/>
      <c r="K222" s="132"/>
    </row>
    <row r="223" spans="5:11" x14ac:dyDescent="0.25">
      <c r="E223" s="132"/>
      <c r="F223" s="132"/>
      <c r="G223" s="132"/>
      <c r="H223" s="132"/>
      <c r="I223" s="132"/>
      <c r="J223" s="132"/>
      <c r="K223" s="132"/>
    </row>
    <row r="224" spans="5:11" x14ac:dyDescent="0.25">
      <c r="E224" s="132"/>
      <c r="F224" s="132"/>
      <c r="G224" s="132"/>
      <c r="H224" s="132"/>
      <c r="I224" s="132"/>
      <c r="J224" s="132"/>
      <c r="K224" s="132"/>
    </row>
    <row r="225" spans="5:11" x14ac:dyDescent="0.25">
      <c r="E225" s="132"/>
      <c r="F225" s="132"/>
      <c r="G225" s="132"/>
      <c r="H225" s="132"/>
      <c r="I225" s="132"/>
      <c r="J225" s="132"/>
      <c r="K225" s="132"/>
    </row>
    <row r="226" spans="5:11" x14ac:dyDescent="0.25">
      <c r="E226" s="132"/>
      <c r="F226" s="132"/>
      <c r="G226" s="132"/>
      <c r="H226" s="132"/>
      <c r="I226" s="132"/>
      <c r="J226" s="132"/>
      <c r="K226" s="132"/>
    </row>
    <row r="227" spans="5:11" x14ac:dyDescent="0.25">
      <c r="E227" s="132"/>
      <c r="F227" s="132"/>
      <c r="G227" s="132"/>
      <c r="H227" s="132"/>
      <c r="I227" s="132"/>
      <c r="J227" s="132"/>
      <c r="K227" s="132"/>
    </row>
    <row r="228" spans="5:11" x14ac:dyDescent="0.25">
      <c r="E228" s="132"/>
      <c r="F228" s="132"/>
      <c r="G228" s="132"/>
      <c r="H228" s="132"/>
      <c r="I228" s="132"/>
      <c r="J228" s="132"/>
      <c r="K228" s="132"/>
    </row>
    <row r="229" spans="5:11" x14ac:dyDescent="0.25">
      <c r="E229" s="132"/>
      <c r="F229" s="132"/>
      <c r="G229" s="132"/>
      <c r="H229" s="132"/>
      <c r="I229" s="132"/>
      <c r="J229" s="132"/>
      <c r="K229" s="132"/>
    </row>
    <row r="230" spans="5:11" x14ac:dyDescent="0.25">
      <c r="E230" s="132"/>
      <c r="F230" s="132"/>
      <c r="G230" s="132"/>
      <c r="H230" s="132"/>
      <c r="I230" s="132"/>
      <c r="J230" s="132"/>
      <c r="K230" s="132"/>
    </row>
    <row r="231" spans="5:11" x14ac:dyDescent="0.25">
      <c r="E231" s="132"/>
      <c r="F231" s="132"/>
      <c r="G231" s="132"/>
      <c r="H231" s="132"/>
      <c r="I231" s="132"/>
      <c r="J231" s="132"/>
      <c r="K231" s="132"/>
    </row>
    <row r="232" spans="5:11" x14ac:dyDescent="0.25">
      <c r="E232" s="132"/>
      <c r="F232" s="132"/>
      <c r="G232" s="132"/>
      <c r="H232" s="132"/>
      <c r="I232" s="132"/>
      <c r="J232" s="132"/>
      <c r="K232" s="132"/>
    </row>
    <row r="233" spans="5:11" x14ac:dyDescent="0.25">
      <c r="E233" s="132"/>
      <c r="F233" s="132"/>
      <c r="G233" s="132"/>
      <c r="H233" s="132"/>
      <c r="I233" s="132"/>
      <c r="J233" s="132"/>
      <c r="K233" s="132"/>
    </row>
    <row r="234" spans="5:11" x14ac:dyDescent="0.25">
      <c r="E234" s="132"/>
      <c r="F234" s="132"/>
      <c r="G234" s="132"/>
      <c r="H234" s="132"/>
      <c r="I234" s="132"/>
      <c r="J234" s="132"/>
      <c r="K234" s="132"/>
    </row>
    <row r="235" spans="5:11" x14ac:dyDescent="0.25">
      <c r="E235" s="132"/>
      <c r="F235" s="132"/>
      <c r="G235" s="132"/>
      <c r="H235" s="132"/>
      <c r="I235" s="132"/>
      <c r="J235" s="132"/>
      <c r="K235" s="132"/>
    </row>
    <row r="236" spans="5:11" x14ac:dyDescent="0.25">
      <c r="E236" s="132"/>
      <c r="F236" s="132"/>
      <c r="G236" s="132"/>
      <c r="H236" s="132"/>
      <c r="I236" s="132"/>
      <c r="J236" s="132"/>
      <c r="K236" s="132"/>
    </row>
    <row r="237" spans="5:11" x14ac:dyDescent="0.25">
      <c r="E237" s="132"/>
      <c r="F237" s="132"/>
      <c r="G237" s="132"/>
      <c r="H237" s="132"/>
      <c r="I237" s="132"/>
      <c r="J237" s="132"/>
      <c r="K237" s="132"/>
    </row>
    <row r="238" spans="5:11" x14ac:dyDescent="0.25">
      <c r="E238" s="132"/>
      <c r="F238" s="132"/>
      <c r="G238" s="132"/>
      <c r="H238" s="132"/>
      <c r="I238" s="132"/>
      <c r="J238" s="132"/>
      <c r="K238" s="132"/>
    </row>
    <row r="239" spans="5:11" x14ac:dyDescent="0.25">
      <c r="E239" s="132"/>
      <c r="F239" s="132"/>
      <c r="G239" s="132"/>
      <c r="H239" s="132"/>
      <c r="I239" s="132"/>
      <c r="J239" s="132"/>
      <c r="K239" s="132"/>
    </row>
    <row r="240" spans="5:11" x14ac:dyDescent="0.25">
      <c r="E240" s="132"/>
      <c r="F240" s="132"/>
      <c r="G240" s="132"/>
      <c r="H240" s="132"/>
      <c r="I240" s="132"/>
      <c r="J240" s="132"/>
      <c r="K240" s="132"/>
    </row>
    <row r="241" spans="5:11" x14ac:dyDescent="0.25">
      <c r="E241" s="132"/>
      <c r="F241" s="132"/>
      <c r="G241" s="132"/>
      <c r="H241" s="132"/>
      <c r="I241" s="132"/>
      <c r="J241" s="132"/>
      <c r="K241" s="132"/>
    </row>
    <row r="242" spans="5:11" x14ac:dyDescent="0.25">
      <c r="E242" s="132"/>
      <c r="F242" s="132"/>
      <c r="G242" s="132"/>
      <c r="H242" s="132"/>
      <c r="I242" s="132"/>
      <c r="J242" s="132"/>
      <c r="K242" s="132"/>
    </row>
    <row r="243" spans="5:11" x14ac:dyDescent="0.25">
      <c r="E243" s="132"/>
      <c r="F243" s="132"/>
      <c r="G243" s="132"/>
      <c r="H243" s="132"/>
      <c r="I243" s="132"/>
      <c r="J243" s="132"/>
      <c r="K243" s="132"/>
    </row>
    <row r="244" spans="5:11" x14ac:dyDescent="0.25">
      <c r="E244" s="132"/>
      <c r="F244" s="132"/>
      <c r="G244" s="132"/>
      <c r="H244" s="132"/>
      <c r="I244" s="132"/>
      <c r="J244" s="132"/>
      <c r="K244" s="132"/>
    </row>
    <row r="245" spans="5:11" x14ac:dyDescent="0.25">
      <c r="E245" s="132"/>
      <c r="F245" s="132"/>
      <c r="G245" s="132"/>
      <c r="H245" s="132"/>
      <c r="I245" s="132"/>
      <c r="J245" s="132"/>
      <c r="K245" s="132"/>
    </row>
    <row r="246" spans="5:11" x14ac:dyDescent="0.25">
      <c r="E246" s="132"/>
      <c r="F246" s="132"/>
      <c r="G246" s="132"/>
      <c r="H246" s="132"/>
      <c r="I246" s="132"/>
      <c r="J246" s="132"/>
      <c r="K246" s="132"/>
    </row>
    <row r="247" spans="5:11" x14ac:dyDescent="0.25">
      <c r="E247" s="132"/>
      <c r="F247" s="132"/>
      <c r="G247" s="132"/>
      <c r="H247" s="132"/>
      <c r="I247" s="132"/>
      <c r="J247" s="132"/>
      <c r="K247" s="132"/>
    </row>
    <row r="248" spans="5:11" x14ac:dyDescent="0.25">
      <c r="E248" s="132"/>
      <c r="F248" s="132"/>
      <c r="G248" s="132"/>
      <c r="H248" s="132"/>
      <c r="I248" s="132"/>
      <c r="J248" s="132"/>
      <c r="K248" s="132"/>
    </row>
    <row r="249" spans="5:11" x14ac:dyDescent="0.25">
      <c r="E249" s="132"/>
      <c r="F249" s="132"/>
      <c r="G249" s="132"/>
      <c r="H249" s="132"/>
      <c r="I249" s="132"/>
      <c r="J249" s="132"/>
      <c r="K249" s="132"/>
    </row>
    <row r="250" spans="5:11" x14ac:dyDescent="0.25">
      <c r="E250" s="132"/>
      <c r="F250" s="132"/>
      <c r="G250" s="132"/>
      <c r="H250" s="132"/>
      <c r="I250" s="132"/>
      <c r="J250" s="132"/>
      <c r="K250" s="132"/>
    </row>
    <row r="251" spans="5:11" x14ac:dyDescent="0.25">
      <c r="E251" s="132"/>
      <c r="F251" s="132"/>
      <c r="G251" s="132"/>
      <c r="H251" s="132"/>
      <c r="I251" s="132"/>
      <c r="J251" s="132"/>
      <c r="K251" s="132"/>
    </row>
    <row r="252" spans="5:11" x14ac:dyDescent="0.25">
      <c r="E252" s="132"/>
      <c r="F252" s="132"/>
      <c r="G252" s="132"/>
      <c r="H252" s="132"/>
      <c r="I252" s="132"/>
      <c r="J252" s="132"/>
      <c r="K252" s="132"/>
    </row>
    <row r="253" spans="5:11" x14ac:dyDescent="0.25">
      <c r="E253" s="132"/>
      <c r="F253" s="132"/>
      <c r="G253" s="132"/>
      <c r="H253" s="132"/>
      <c r="I253" s="132"/>
      <c r="J253" s="132"/>
      <c r="K253" s="132"/>
    </row>
    <row r="254" spans="5:11" x14ac:dyDescent="0.25">
      <c r="E254" s="132"/>
      <c r="F254" s="132"/>
      <c r="G254" s="132"/>
      <c r="H254" s="132"/>
      <c r="I254" s="132"/>
      <c r="J254" s="132"/>
      <c r="K254" s="132"/>
    </row>
    <row r="255" spans="5:11" x14ac:dyDescent="0.25">
      <c r="E255" s="132"/>
      <c r="F255" s="132"/>
      <c r="G255" s="132"/>
      <c r="H255" s="132"/>
      <c r="I255" s="132"/>
      <c r="J255" s="132"/>
      <c r="K255" s="132"/>
    </row>
    <row r="256" spans="5:11" x14ac:dyDescent="0.25">
      <c r="E256" s="132"/>
      <c r="F256" s="132"/>
      <c r="G256" s="132"/>
      <c r="H256" s="132"/>
      <c r="I256" s="132"/>
      <c r="J256" s="132"/>
      <c r="K256" s="132"/>
    </row>
    <row r="257" spans="5:11" x14ac:dyDescent="0.25">
      <c r="E257" s="132"/>
      <c r="F257" s="132"/>
      <c r="G257" s="132"/>
      <c r="H257" s="132"/>
      <c r="I257" s="132"/>
      <c r="J257" s="132"/>
      <c r="K257" s="132"/>
    </row>
    <row r="258" spans="5:11" x14ac:dyDescent="0.25">
      <c r="E258" s="132"/>
      <c r="F258" s="132"/>
      <c r="G258" s="132"/>
      <c r="H258" s="132"/>
      <c r="I258" s="132"/>
      <c r="J258" s="132"/>
      <c r="K258" s="132"/>
    </row>
    <row r="259" spans="5:11" x14ac:dyDescent="0.25">
      <c r="E259" s="132"/>
      <c r="F259" s="132"/>
      <c r="G259" s="132"/>
      <c r="H259" s="132"/>
      <c r="I259" s="132"/>
      <c r="J259" s="132"/>
      <c r="K259" s="132"/>
    </row>
    <row r="260" spans="5:11" x14ac:dyDescent="0.25">
      <c r="E260" s="132"/>
      <c r="F260" s="132"/>
      <c r="G260" s="132"/>
      <c r="H260" s="132"/>
      <c r="I260" s="132"/>
      <c r="J260" s="132"/>
      <c r="K260" s="132"/>
    </row>
    <row r="261" spans="5:11" x14ac:dyDescent="0.25">
      <c r="E261" s="132"/>
      <c r="F261" s="132"/>
      <c r="G261" s="132"/>
      <c r="H261" s="132"/>
      <c r="I261" s="132"/>
      <c r="J261" s="132"/>
      <c r="K261" s="132"/>
    </row>
    <row r="262" spans="5:11" x14ac:dyDescent="0.25">
      <c r="E262" s="132"/>
      <c r="F262" s="132"/>
      <c r="G262" s="132"/>
      <c r="H262" s="132"/>
      <c r="I262" s="132"/>
      <c r="J262" s="132"/>
      <c r="K262" s="132"/>
    </row>
    <row r="263" spans="5:11" x14ac:dyDescent="0.25">
      <c r="E263" s="132"/>
      <c r="F263" s="132"/>
      <c r="G263" s="132"/>
      <c r="H263" s="132"/>
      <c r="I263" s="132"/>
      <c r="J263" s="132"/>
      <c r="K263" s="132"/>
    </row>
    <row r="264" spans="5:11" x14ac:dyDescent="0.25">
      <c r="E264" s="132"/>
      <c r="F264" s="132"/>
      <c r="G264" s="132"/>
      <c r="H264" s="132"/>
      <c r="I264" s="132"/>
      <c r="J264" s="132"/>
      <c r="K264" s="132"/>
    </row>
    <row r="265" spans="5:11" x14ac:dyDescent="0.25">
      <c r="E265" s="132"/>
      <c r="F265" s="132"/>
      <c r="G265" s="132"/>
      <c r="H265" s="132"/>
      <c r="I265" s="132"/>
      <c r="J265" s="132"/>
      <c r="K265" s="132"/>
    </row>
    <row r="266" spans="5:11" x14ac:dyDescent="0.25">
      <c r="E266" s="132"/>
      <c r="F266" s="132"/>
      <c r="G266" s="132"/>
      <c r="H266" s="132"/>
      <c r="I266" s="132"/>
      <c r="J266" s="132"/>
      <c r="K266" s="132"/>
    </row>
    <row r="267" spans="5:11" x14ac:dyDescent="0.25">
      <c r="E267" s="132"/>
      <c r="F267" s="132"/>
      <c r="G267" s="132"/>
      <c r="H267" s="132"/>
      <c r="I267" s="132"/>
      <c r="J267" s="132"/>
      <c r="K267" s="132"/>
    </row>
    <row r="268" spans="5:11" x14ac:dyDescent="0.25">
      <c r="E268" s="132"/>
      <c r="F268" s="132"/>
      <c r="G268" s="132"/>
      <c r="H268" s="132"/>
      <c r="I268" s="132"/>
      <c r="J268" s="132"/>
      <c r="K268" s="132"/>
    </row>
    <row r="269" spans="5:11" x14ac:dyDescent="0.25">
      <c r="E269" s="132"/>
      <c r="F269" s="132"/>
      <c r="G269" s="132"/>
      <c r="H269" s="132"/>
      <c r="I269" s="132"/>
      <c r="J269" s="132"/>
      <c r="K269" s="132"/>
    </row>
    <row r="270" spans="5:11" x14ac:dyDescent="0.25">
      <c r="E270" s="132"/>
      <c r="F270" s="132"/>
      <c r="G270" s="132"/>
      <c r="H270" s="132"/>
      <c r="I270" s="132"/>
      <c r="J270" s="132"/>
      <c r="K270" s="132"/>
    </row>
    <row r="271" spans="5:11" x14ac:dyDescent="0.25">
      <c r="E271" s="132"/>
      <c r="F271" s="132"/>
      <c r="G271" s="132"/>
      <c r="H271" s="132"/>
      <c r="I271" s="132"/>
      <c r="J271" s="132"/>
      <c r="K271" s="132"/>
    </row>
    <row r="272" spans="5:11" x14ac:dyDescent="0.25">
      <c r="E272" s="132"/>
      <c r="F272" s="132"/>
      <c r="G272" s="132"/>
      <c r="H272" s="132"/>
      <c r="I272" s="132"/>
      <c r="J272" s="132"/>
      <c r="K272" s="132"/>
    </row>
    <row r="273" spans="5:11" x14ac:dyDescent="0.25">
      <c r="E273" s="132"/>
      <c r="F273" s="132"/>
      <c r="G273" s="132"/>
      <c r="H273" s="132"/>
      <c r="I273" s="132"/>
      <c r="J273" s="132"/>
      <c r="K273" s="132"/>
    </row>
    <row r="274" spans="5:11" x14ac:dyDescent="0.25">
      <c r="E274" s="132"/>
      <c r="F274" s="132"/>
      <c r="G274" s="132"/>
      <c r="H274" s="132"/>
      <c r="I274" s="132"/>
      <c r="J274" s="132"/>
      <c r="K274" s="132"/>
    </row>
    <row r="275" spans="5:11" x14ac:dyDescent="0.25">
      <c r="E275" s="132"/>
      <c r="F275" s="132"/>
      <c r="G275" s="132"/>
      <c r="H275" s="132"/>
      <c r="I275" s="132"/>
      <c r="J275" s="132"/>
      <c r="K275" s="132"/>
    </row>
    <row r="276" spans="5:11" x14ac:dyDescent="0.25">
      <c r="E276" s="132"/>
      <c r="F276" s="132"/>
      <c r="G276" s="132"/>
      <c r="H276" s="132"/>
      <c r="I276" s="132"/>
      <c r="J276" s="132"/>
      <c r="K276" s="132"/>
    </row>
    <row r="277" spans="5:11" x14ac:dyDescent="0.25">
      <c r="E277" s="132"/>
      <c r="F277" s="132"/>
      <c r="G277" s="132"/>
      <c r="H277" s="132"/>
      <c r="I277" s="132"/>
      <c r="J277" s="132"/>
      <c r="K277" s="132"/>
    </row>
    <row r="278" spans="5:11" x14ac:dyDescent="0.25">
      <c r="E278" s="132"/>
      <c r="F278" s="132"/>
      <c r="G278" s="132"/>
      <c r="H278" s="132"/>
      <c r="I278" s="132"/>
      <c r="J278" s="132"/>
      <c r="K278" s="132"/>
    </row>
    <row r="279" spans="5:11" x14ac:dyDescent="0.25">
      <c r="E279" s="132"/>
      <c r="F279" s="132"/>
      <c r="G279" s="132"/>
      <c r="H279" s="132"/>
      <c r="I279" s="132"/>
      <c r="J279" s="132"/>
      <c r="K279" s="132"/>
    </row>
    <row r="280" spans="5:11" x14ac:dyDescent="0.25">
      <c r="E280" s="132"/>
      <c r="F280" s="132"/>
      <c r="G280" s="132"/>
      <c r="H280" s="132"/>
      <c r="I280" s="132"/>
      <c r="J280" s="132"/>
      <c r="K280" s="132"/>
    </row>
    <row r="281" spans="5:11" x14ac:dyDescent="0.25">
      <c r="E281" s="132"/>
      <c r="F281" s="132"/>
      <c r="G281" s="132"/>
      <c r="H281" s="132"/>
      <c r="I281" s="132"/>
      <c r="J281" s="132"/>
      <c r="K281" s="132"/>
    </row>
    <row r="282" spans="5:11" x14ac:dyDescent="0.25">
      <c r="E282" s="132"/>
      <c r="F282" s="132"/>
      <c r="G282" s="132"/>
      <c r="H282" s="132"/>
      <c r="I282" s="132"/>
      <c r="J282" s="132"/>
      <c r="K282" s="132"/>
    </row>
    <row r="283" spans="5:11" x14ac:dyDescent="0.25">
      <c r="E283" s="132"/>
      <c r="F283" s="132"/>
      <c r="G283" s="132"/>
      <c r="H283" s="132"/>
      <c r="I283" s="132"/>
      <c r="J283" s="132"/>
      <c r="K283" s="132"/>
    </row>
    <row r="284" spans="5:11" x14ac:dyDescent="0.25">
      <c r="E284" s="132"/>
      <c r="F284" s="132"/>
      <c r="G284" s="132"/>
      <c r="H284" s="132"/>
      <c r="I284" s="132"/>
      <c r="J284" s="132"/>
      <c r="K284" s="132"/>
    </row>
    <row r="285" spans="5:11" x14ac:dyDescent="0.25">
      <c r="E285" s="132"/>
      <c r="F285" s="132"/>
      <c r="G285" s="132"/>
      <c r="H285" s="132"/>
      <c r="I285" s="132"/>
      <c r="J285" s="132"/>
      <c r="K285" s="132"/>
    </row>
    <row r="286" spans="5:11" x14ac:dyDescent="0.25">
      <c r="E286" s="132"/>
      <c r="F286" s="132"/>
      <c r="G286" s="132"/>
      <c r="H286" s="132"/>
      <c r="I286" s="132"/>
      <c r="J286" s="132"/>
      <c r="K286" s="132"/>
    </row>
    <row r="287" spans="5:11" x14ac:dyDescent="0.25">
      <c r="E287" s="132"/>
      <c r="F287" s="132"/>
      <c r="G287" s="132"/>
      <c r="H287" s="132"/>
      <c r="I287" s="132"/>
      <c r="J287" s="132"/>
      <c r="K287" s="132"/>
    </row>
    <row r="288" spans="5:11" x14ac:dyDescent="0.25">
      <c r="E288" s="132"/>
      <c r="F288" s="132"/>
      <c r="G288" s="132"/>
      <c r="H288" s="132"/>
      <c r="I288" s="132"/>
      <c r="J288" s="132"/>
      <c r="K288" s="132"/>
    </row>
    <row r="289" spans="5:11" x14ac:dyDescent="0.25">
      <c r="E289" s="132"/>
      <c r="F289" s="132"/>
      <c r="G289" s="132"/>
      <c r="H289" s="132"/>
      <c r="I289" s="132"/>
      <c r="J289" s="132"/>
      <c r="K289" s="132"/>
    </row>
    <row r="290" spans="5:11" x14ac:dyDescent="0.25">
      <c r="E290" s="132"/>
      <c r="F290" s="132"/>
      <c r="G290" s="132"/>
      <c r="H290" s="132"/>
      <c r="I290" s="132"/>
      <c r="J290" s="132"/>
      <c r="K290" s="132"/>
    </row>
    <row r="291" spans="5:11" x14ac:dyDescent="0.25">
      <c r="E291" s="132"/>
      <c r="F291" s="132"/>
      <c r="G291" s="132"/>
      <c r="H291" s="132"/>
      <c r="I291" s="132"/>
      <c r="J291" s="132"/>
      <c r="K291" s="132"/>
    </row>
    <row r="292" spans="5:11" x14ac:dyDescent="0.25">
      <c r="E292" s="132"/>
      <c r="F292" s="132"/>
      <c r="G292" s="132"/>
      <c r="H292" s="132"/>
      <c r="I292" s="132"/>
      <c r="J292" s="132"/>
      <c r="K292" s="132"/>
    </row>
    <row r="293" spans="5:11" x14ac:dyDescent="0.25">
      <c r="E293" s="132"/>
      <c r="F293" s="132"/>
      <c r="G293" s="132"/>
      <c r="H293" s="132"/>
      <c r="I293" s="132"/>
      <c r="J293" s="132"/>
      <c r="K293" s="132"/>
    </row>
    <row r="294" spans="5:11" x14ac:dyDescent="0.25">
      <c r="E294" s="132"/>
      <c r="F294" s="132"/>
      <c r="G294" s="132"/>
      <c r="H294" s="132"/>
      <c r="I294" s="132"/>
      <c r="J294" s="132"/>
      <c r="K294" s="132"/>
    </row>
    <row r="295" spans="5:11" x14ac:dyDescent="0.25">
      <c r="E295" s="132"/>
      <c r="F295" s="132"/>
      <c r="G295" s="132"/>
      <c r="H295" s="132"/>
      <c r="I295" s="132"/>
      <c r="J295" s="132"/>
      <c r="K295" s="132"/>
    </row>
    <row r="296" spans="5:11" x14ac:dyDescent="0.25">
      <c r="E296" s="132"/>
      <c r="F296" s="132"/>
      <c r="G296" s="132"/>
      <c r="H296" s="132"/>
      <c r="I296" s="132"/>
      <c r="J296" s="132"/>
      <c r="K296" s="132"/>
    </row>
    <row r="297" spans="5:11" x14ac:dyDescent="0.25">
      <c r="E297" s="132"/>
      <c r="F297" s="132"/>
      <c r="G297" s="132"/>
      <c r="H297" s="132"/>
      <c r="I297" s="132"/>
      <c r="J297" s="132"/>
      <c r="K297" s="132"/>
    </row>
    <row r="298" spans="5:11" x14ac:dyDescent="0.25">
      <c r="E298" s="132"/>
      <c r="F298" s="132"/>
      <c r="G298" s="132"/>
      <c r="H298" s="132"/>
      <c r="I298" s="132"/>
      <c r="J298" s="132"/>
      <c r="K298" s="132"/>
    </row>
    <row r="299" spans="5:11" x14ac:dyDescent="0.25">
      <c r="E299" s="132"/>
      <c r="F299" s="132"/>
      <c r="G299" s="132"/>
      <c r="H299" s="132"/>
      <c r="I299" s="132"/>
      <c r="J299" s="132"/>
      <c r="K299" s="132"/>
    </row>
    <row r="300" spans="5:11" x14ac:dyDescent="0.25">
      <c r="E300" s="132"/>
      <c r="F300" s="132"/>
      <c r="G300" s="132"/>
      <c r="H300" s="132"/>
      <c r="I300" s="132"/>
      <c r="J300" s="132"/>
      <c r="K300" s="132"/>
    </row>
    <row r="301" spans="5:11" x14ac:dyDescent="0.25">
      <c r="E301" s="132"/>
      <c r="F301" s="132"/>
      <c r="G301" s="132"/>
      <c r="H301" s="132"/>
      <c r="I301" s="132"/>
      <c r="J301" s="132"/>
      <c r="K301" s="132"/>
    </row>
    <row r="302" spans="5:11" x14ac:dyDescent="0.25">
      <c r="E302" s="132"/>
      <c r="F302" s="132"/>
      <c r="G302" s="132"/>
      <c r="H302" s="132"/>
      <c r="I302" s="132"/>
      <c r="J302" s="132"/>
      <c r="K302" s="132"/>
    </row>
    <row r="303" spans="5:11" x14ac:dyDescent="0.25">
      <c r="E303" s="132"/>
      <c r="F303" s="132"/>
      <c r="G303" s="132"/>
      <c r="H303" s="132"/>
      <c r="I303" s="132"/>
      <c r="J303" s="132"/>
      <c r="K303" s="132"/>
    </row>
    <row r="304" spans="5:11" x14ac:dyDescent="0.25">
      <c r="E304" s="132"/>
      <c r="F304" s="132"/>
      <c r="G304" s="132"/>
      <c r="H304" s="132"/>
      <c r="I304" s="132"/>
      <c r="J304" s="132"/>
      <c r="K304" s="132"/>
    </row>
    <row r="305" spans="5:11" x14ac:dyDescent="0.25">
      <c r="E305" s="132"/>
      <c r="F305" s="132"/>
      <c r="G305" s="132"/>
      <c r="H305" s="132"/>
      <c r="I305" s="132"/>
      <c r="J305" s="132"/>
      <c r="K305" s="132"/>
    </row>
    <row r="306" spans="5:11" x14ac:dyDescent="0.25">
      <c r="E306" s="132"/>
      <c r="F306" s="132"/>
      <c r="G306" s="132"/>
      <c r="H306" s="132"/>
      <c r="I306" s="132"/>
      <c r="J306" s="132"/>
      <c r="K306" s="132"/>
    </row>
    <row r="307" spans="5:11" x14ac:dyDescent="0.25">
      <c r="E307" s="132"/>
      <c r="F307" s="132"/>
      <c r="G307" s="132"/>
      <c r="H307" s="132"/>
      <c r="I307" s="132"/>
      <c r="J307" s="132"/>
      <c r="K307" s="132"/>
    </row>
    <row r="308" spans="5:11" x14ac:dyDescent="0.25">
      <c r="E308" s="132"/>
      <c r="F308" s="132"/>
      <c r="G308" s="132"/>
      <c r="H308" s="132"/>
      <c r="I308" s="132"/>
      <c r="J308" s="132"/>
      <c r="K308" s="132"/>
    </row>
    <row r="309" spans="5:11" x14ac:dyDescent="0.25">
      <c r="E309" s="132"/>
      <c r="F309" s="132"/>
      <c r="G309" s="132"/>
      <c r="H309" s="132"/>
      <c r="I309" s="132"/>
      <c r="J309" s="132"/>
      <c r="K309" s="132"/>
    </row>
    <row r="310" spans="5:11" x14ac:dyDescent="0.25">
      <c r="E310" s="132"/>
      <c r="F310" s="132"/>
      <c r="G310" s="132"/>
      <c r="H310" s="132"/>
      <c r="I310" s="132"/>
      <c r="J310" s="132"/>
      <c r="K310" s="132"/>
    </row>
    <row r="311" spans="5:11" x14ac:dyDescent="0.25">
      <c r="E311" s="132"/>
      <c r="F311" s="132"/>
      <c r="G311" s="132"/>
      <c r="H311" s="132"/>
      <c r="I311" s="132"/>
      <c r="J311" s="132"/>
      <c r="K311" s="132"/>
    </row>
    <row r="312" spans="5:11" x14ac:dyDescent="0.25">
      <c r="E312" s="132"/>
      <c r="F312" s="132"/>
      <c r="G312" s="132"/>
      <c r="H312" s="132"/>
      <c r="I312" s="132"/>
      <c r="J312" s="132"/>
      <c r="K312" s="132"/>
    </row>
    <row r="313" spans="5:11" x14ac:dyDescent="0.25">
      <c r="E313" s="132"/>
      <c r="F313" s="132"/>
      <c r="G313" s="132"/>
      <c r="H313" s="132"/>
      <c r="I313" s="132"/>
      <c r="J313" s="132"/>
      <c r="K313" s="132"/>
    </row>
    <row r="314" spans="5:11" x14ac:dyDescent="0.25">
      <c r="E314" s="132"/>
      <c r="F314" s="132"/>
      <c r="G314" s="132"/>
      <c r="H314" s="132"/>
      <c r="I314" s="132"/>
      <c r="J314" s="132"/>
      <c r="K314" s="132"/>
    </row>
    <row r="315" spans="5:11" x14ac:dyDescent="0.25">
      <c r="E315" s="132"/>
      <c r="F315" s="132"/>
      <c r="G315" s="132"/>
      <c r="H315" s="132"/>
      <c r="I315" s="132"/>
      <c r="J315" s="132"/>
      <c r="K315" s="132"/>
    </row>
    <row r="316" spans="5:11" x14ac:dyDescent="0.25">
      <c r="E316" s="132"/>
      <c r="F316" s="132"/>
      <c r="G316" s="132"/>
      <c r="H316" s="132"/>
      <c r="I316" s="132"/>
      <c r="J316" s="132"/>
      <c r="K316" s="132"/>
    </row>
    <row r="317" spans="5:11" x14ac:dyDescent="0.25">
      <c r="E317" s="132"/>
      <c r="F317" s="132"/>
      <c r="G317" s="132"/>
      <c r="H317" s="132"/>
      <c r="I317" s="132"/>
      <c r="J317" s="132"/>
      <c r="K317" s="132"/>
    </row>
    <row r="318" spans="5:11" x14ac:dyDescent="0.25">
      <c r="E318" s="132"/>
      <c r="F318" s="132"/>
      <c r="G318" s="132"/>
      <c r="H318" s="132"/>
      <c r="I318" s="132"/>
      <c r="J318" s="132"/>
      <c r="K318" s="132"/>
    </row>
    <row r="319" spans="5:11" x14ac:dyDescent="0.25">
      <c r="E319" s="132"/>
      <c r="F319" s="132"/>
      <c r="G319" s="132"/>
      <c r="H319" s="132"/>
      <c r="I319" s="132"/>
      <c r="J319" s="132"/>
      <c r="K319" s="132"/>
    </row>
    <row r="320" spans="5:11" x14ac:dyDescent="0.25">
      <c r="E320" s="132"/>
      <c r="F320" s="132"/>
      <c r="G320" s="132"/>
      <c r="H320" s="132"/>
      <c r="I320" s="132"/>
      <c r="J320" s="132"/>
      <c r="K320" s="132"/>
    </row>
    <row r="321" spans="5:11" x14ac:dyDescent="0.25">
      <c r="E321" s="132"/>
      <c r="F321" s="132"/>
      <c r="G321" s="132"/>
      <c r="H321" s="132"/>
      <c r="I321" s="132"/>
      <c r="J321" s="132"/>
      <c r="K321" s="132"/>
    </row>
    <row r="322" spans="5:11" x14ac:dyDescent="0.25">
      <c r="E322" s="132"/>
      <c r="F322" s="132"/>
      <c r="G322" s="132"/>
      <c r="H322" s="132"/>
      <c r="I322" s="132"/>
      <c r="J322" s="132"/>
      <c r="K322" s="132"/>
    </row>
    <row r="323" spans="5:11" x14ac:dyDescent="0.25">
      <c r="E323" s="132"/>
      <c r="F323" s="132"/>
      <c r="G323" s="132"/>
      <c r="H323" s="132"/>
      <c r="I323" s="132"/>
      <c r="J323" s="132"/>
      <c r="K323" s="132"/>
    </row>
    <row r="324" spans="5:11" x14ac:dyDescent="0.25">
      <c r="E324" s="132"/>
      <c r="F324" s="132"/>
      <c r="G324" s="132"/>
      <c r="H324" s="132"/>
      <c r="I324" s="132"/>
      <c r="J324" s="132"/>
      <c r="K324" s="132"/>
    </row>
    <row r="325" spans="5:11" x14ac:dyDescent="0.25">
      <c r="E325" s="132"/>
      <c r="F325" s="132"/>
      <c r="G325" s="132"/>
      <c r="H325" s="132"/>
      <c r="I325" s="132"/>
      <c r="J325" s="132"/>
      <c r="K325" s="132"/>
    </row>
    <row r="326" spans="5:11" x14ac:dyDescent="0.25">
      <c r="E326" s="132"/>
      <c r="F326" s="132"/>
      <c r="G326" s="132"/>
      <c r="H326" s="132"/>
      <c r="I326" s="132"/>
      <c r="J326" s="132"/>
      <c r="K326" s="132"/>
    </row>
    <row r="327" spans="5:11" x14ac:dyDescent="0.25">
      <c r="E327" s="132"/>
      <c r="F327" s="132"/>
      <c r="G327" s="132"/>
      <c r="H327" s="132"/>
      <c r="I327" s="132"/>
      <c r="J327" s="132"/>
      <c r="K327" s="132"/>
    </row>
    <row r="328" spans="5:11" x14ac:dyDescent="0.25">
      <c r="E328" s="132"/>
      <c r="F328" s="132"/>
      <c r="G328" s="132"/>
      <c r="H328" s="132"/>
      <c r="I328" s="132"/>
      <c r="J328" s="132"/>
      <c r="K328" s="132"/>
    </row>
    <row r="329" spans="5:11" x14ac:dyDescent="0.25">
      <c r="E329" s="132"/>
      <c r="F329" s="132"/>
      <c r="G329" s="132"/>
      <c r="H329" s="132"/>
      <c r="I329" s="132"/>
      <c r="J329" s="132"/>
      <c r="K329" s="132"/>
    </row>
    <row r="330" spans="5:11" x14ac:dyDescent="0.25">
      <c r="E330" s="132"/>
      <c r="F330" s="132"/>
      <c r="G330" s="132"/>
      <c r="H330" s="132"/>
      <c r="I330" s="132"/>
      <c r="J330" s="132"/>
      <c r="K330" s="132"/>
    </row>
    <row r="331" spans="5:11" x14ac:dyDescent="0.25">
      <c r="E331" s="132"/>
      <c r="F331" s="132"/>
      <c r="G331" s="132"/>
      <c r="H331" s="132"/>
      <c r="I331" s="132"/>
      <c r="J331" s="132"/>
      <c r="K331" s="132"/>
    </row>
    <row r="332" spans="5:11" x14ac:dyDescent="0.25">
      <c r="E332" s="132"/>
      <c r="F332" s="132"/>
      <c r="G332" s="132"/>
      <c r="H332" s="132"/>
      <c r="I332" s="132"/>
      <c r="J332" s="132"/>
      <c r="K332" s="132"/>
    </row>
    <row r="333" spans="5:11" x14ac:dyDescent="0.25">
      <c r="E333" s="132"/>
      <c r="F333" s="132"/>
      <c r="G333" s="132"/>
      <c r="H333" s="132"/>
      <c r="I333" s="132"/>
      <c r="J333" s="132"/>
      <c r="K333" s="132"/>
    </row>
    <row r="334" spans="5:11" x14ac:dyDescent="0.25">
      <c r="E334" s="132"/>
      <c r="F334" s="132"/>
      <c r="G334" s="132"/>
      <c r="H334" s="132"/>
      <c r="I334" s="132"/>
      <c r="J334" s="132"/>
      <c r="K334" s="132"/>
    </row>
    <row r="335" spans="5:11" x14ac:dyDescent="0.25">
      <c r="E335" s="132"/>
      <c r="F335" s="132"/>
      <c r="G335" s="132"/>
      <c r="H335" s="132"/>
      <c r="I335" s="132"/>
      <c r="J335" s="132"/>
      <c r="K335" s="132"/>
    </row>
    <row r="336" spans="5:11" x14ac:dyDescent="0.25">
      <c r="E336" s="132"/>
      <c r="F336" s="132"/>
      <c r="G336" s="132"/>
      <c r="H336" s="132"/>
      <c r="I336" s="132"/>
      <c r="J336" s="132"/>
      <c r="K336" s="132"/>
    </row>
    <row r="337" spans="5:11" x14ac:dyDescent="0.25">
      <c r="E337" s="132"/>
      <c r="F337" s="132"/>
      <c r="G337" s="132"/>
      <c r="H337" s="132"/>
      <c r="I337" s="132"/>
      <c r="J337" s="132"/>
      <c r="K337" s="132"/>
    </row>
    <row r="338" spans="5:11" x14ac:dyDescent="0.25">
      <c r="E338" s="132"/>
      <c r="F338" s="132"/>
      <c r="G338" s="132"/>
      <c r="H338" s="132"/>
      <c r="I338" s="132"/>
      <c r="J338" s="132"/>
      <c r="K338" s="132"/>
    </row>
    <row r="339" spans="5:11" x14ac:dyDescent="0.25">
      <c r="E339" s="132"/>
      <c r="F339" s="132"/>
      <c r="G339" s="132"/>
      <c r="H339" s="132"/>
      <c r="I339" s="132"/>
      <c r="J339" s="132"/>
      <c r="K339" s="132"/>
    </row>
    <row r="340" spans="5:11" x14ac:dyDescent="0.25">
      <c r="E340" s="132"/>
      <c r="F340" s="132"/>
      <c r="G340" s="132"/>
      <c r="H340" s="132"/>
      <c r="I340" s="132"/>
      <c r="J340" s="132"/>
      <c r="K340" s="132"/>
    </row>
    <row r="341" spans="5:11" x14ac:dyDescent="0.25">
      <c r="E341" s="132"/>
      <c r="F341" s="132"/>
      <c r="G341" s="132"/>
      <c r="H341" s="132"/>
      <c r="I341" s="132"/>
      <c r="J341" s="132"/>
      <c r="K341" s="132"/>
    </row>
    <row r="342" spans="5:11" x14ac:dyDescent="0.25">
      <c r="E342" s="132"/>
      <c r="F342" s="132"/>
      <c r="G342" s="132"/>
      <c r="H342" s="132"/>
      <c r="I342" s="132"/>
      <c r="J342" s="132"/>
      <c r="K342" s="132"/>
    </row>
    <row r="343" spans="5:11" x14ac:dyDescent="0.25">
      <c r="E343" s="132"/>
      <c r="F343" s="132"/>
      <c r="G343" s="132"/>
      <c r="H343" s="132"/>
      <c r="I343" s="132"/>
      <c r="J343" s="132"/>
      <c r="K343" s="132"/>
    </row>
    <row r="344" spans="5:11" x14ac:dyDescent="0.25">
      <c r="E344" s="132"/>
      <c r="F344" s="132"/>
      <c r="G344" s="132"/>
      <c r="H344" s="132"/>
      <c r="I344" s="132"/>
      <c r="J344" s="132"/>
      <c r="K344" s="132"/>
    </row>
    <row r="345" spans="5:11" x14ac:dyDescent="0.25">
      <c r="E345" s="132"/>
      <c r="F345" s="132"/>
      <c r="G345" s="132"/>
      <c r="H345" s="132"/>
      <c r="I345" s="132"/>
      <c r="J345" s="132"/>
      <c r="K345" s="132"/>
    </row>
    <row r="346" spans="5:11" x14ac:dyDescent="0.25">
      <c r="E346" s="132"/>
      <c r="F346" s="132"/>
      <c r="G346" s="132"/>
      <c r="H346" s="132"/>
      <c r="I346" s="132"/>
      <c r="J346" s="132"/>
      <c r="K346" s="132"/>
    </row>
    <row r="347" spans="5:11" x14ac:dyDescent="0.25">
      <c r="E347" s="132"/>
      <c r="F347" s="132"/>
      <c r="G347" s="132"/>
      <c r="H347" s="132"/>
      <c r="I347" s="132"/>
      <c r="J347" s="132"/>
      <c r="K347" s="132"/>
    </row>
    <row r="348" spans="5:11" x14ac:dyDescent="0.25">
      <c r="E348" s="132"/>
      <c r="F348" s="132"/>
      <c r="G348" s="132"/>
      <c r="H348" s="132"/>
      <c r="I348" s="132"/>
      <c r="J348" s="132"/>
      <c r="K348" s="132"/>
    </row>
    <row r="349" spans="5:11" x14ac:dyDescent="0.25">
      <c r="E349" s="132"/>
      <c r="F349" s="132"/>
      <c r="G349" s="132"/>
      <c r="H349" s="132"/>
      <c r="I349" s="132"/>
      <c r="J349" s="132"/>
      <c r="K349" s="132"/>
    </row>
    <row r="350" spans="5:11" x14ac:dyDescent="0.25">
      <c r="E350" s="132"/>
      <c r="F350" s="132"/>
      <c r="G350" s="132"/>
      <c r="H350" s="132"/>
      <c r="I350" s="132"/>
      <c r="J350" s="132"/>
      <c r="K350" s="132"/>
    </row>
    <row r="351" spans="5:11" x14ac:dyDescent="0.25">
      <c r="E351" s="132"/>
      <c r="F351" s="132"/>
      <c r="G351" s="132"/>
      <c r="H351" s="132"/>
      <c r="I351" s="132"/>
      <c r="J351" s="132"/>
      <c r="K351" s="132"/>
    </row>
    <row r="352" spans="5:11" x14ac:dyDescent="0.25">
      <c r="E352" s="132"/>
      <c r="F352" s="132"/>
      <c r="G352" s="132"/>
      <c r="H352" s="132"/>
      <c r="I352" s="132"/>
      <c r="J352" s="132"/>
      <c r="K352" s="132"/>
    </row>
    <row r="353" spans="5:11" x14ac:dyDescent="0.25">
      <c r="E353" s="132"/>
      <c r="F353" s="132"/>
      <c r="G353" s="132"/>
      <c r="H353" s="132"/>
      <c r="I353" s="132"/>
      <c r="J353" s="132"/>
      <c r="K353" s="132"/>
    </row>
    <row r="354" spans="5:11" x14ac:dyDescent="0.25">
      <c r="E354" s="132"/>
      <c r="F354" s="132"/>
      <c r="G354" s="132"/>
      <c r="H354" s="132"/>
      <c r="I354" s="132"/>
      <c r="J354" s="132"/>
      <c r="K354" s="132"/>
    </row>
    <row r="355" spans="5:11" x14ac:dyDescent="0.25">
      <c r="E355" s="132"/>
      <c r="F355" s="132"/>
      <c r="G355" s="132"/>
      <c r="H355" s="132"/>
      <c r="I355" s="132"/>
      <c r="J355" s="132"/>
      <c r="K355" s="132"/>
    </row>
    <row r="356" spans="5:11" x14ac:dyDescent="0.25">
      <c r="E356" s="132"/>
      <c r="F356" s="132"/>
      <c r="G356" s="132"/>
      <c r="H356" s="132"/>
      <c r="I356" s="132"/>
      <c r="J356" s="132"/>
      <c r="K356" s="132"/>
    </row>
    <row r="357" spans="5:11" x14ac:dyDescent="0.25">
      <c r="E357" s="132"/>
      <c r="F357" s="132"/>
      <c r="G357" s="132"/>
      <c r="H357" s="132"/>
      <c r="I357" s="132"/>
      <c r="J357" s="132"/>
      <c r="K357" s="132"/>
    </row>
    <row r="358" spans="5:11" x14ac:dyDescent="0.25">
      <c r="E358" s="132"/>
      <c r="F358" s="132"/>
      <c r="G358" s="132"/>
      <c r="H358" s="132"/>
      <c r="I358" s="132"/>
      <c r="J358" s="132"/>
      <c r="K358" s="132"/>
    </row>
    <row r="359" spans="5:11" x14ac:dyDescent="0.25">
      <c r="E359" s="132"/>
      <c r="F359" s="132"/>
      <c r="G359" s="132"/>
      <c r="H359" s="132"/>
      <c r="I359" s="132"/>
      <c r="J359" s="132"/>
      <c r="K359" s="132"/>
    </row>
    <row r="360" spans="5:11" x14ac:dyDescent="0.25">
      <c r="E360" s="132"/>
      <c r="F360" s="132"/>
      <c r="G360" s="132"/>
      <c r="H360" s="132"/>
      <c r="I360" s="132"/>
      <c r="J360" s="132"/>
      <c r="K360" s="132"/>
    </row>
    <row r="361" spans="5:11" x14ac:dyDescent="0.25">
      <c r="E361" s="132"/>
      <c r="F361" s="132"/>
      <c r="G361" s="132"/>
      <c r="H361" s="132"/>
      <c r="I361" s="132"/>
      <c r="J361" s="132"/>
      <c r="K361" s="132"/>
    </row>
    <row r="362" spans="5:11" x14ac:dyDescent="0.25">
      <c r="E362" s="132"/>
      <c r="F362" s="132"/>
      <c r="G362" s="132"/>
      <c r="H362" s="132"/>
      <c r="I362" s="132"/>
      <c r="J362" s="132"/>
      <c r="K362" s="132"/>
    </row>
    <row r="363" spans="5:11" x14ac:dyDescent="0.25">
      <c r="E363" s="132"/>
      <c r="F363" s="132"/>
      <c r="G363" s="132"/>
      <c r="H363" s="132"/>
      <c r="I363" s="132"/>
      <c r="J363" s="132"/>
      <c r="K363" s="132"/>
    </row>
    <row r="364" spans="5:11" x14ac:dyDescent="0.25">
      <c r="E364" s="132"/>
      <c r="F364" s="132"/>
      <c r="G364" s="132"/>
      <c r="H364" s="132"/>
      <c r="I364" s="132"/>
      <c r="J364" s="132"/>
      <c r="K364" s="132"/>
    </row>
    <row r="365" spans="5:11" x14ac:dyDescent="0.25">
      <c r="E365" s="132"/>
      <c r="F365" s="132"/>
      <c r="G365" s="132"/>
      <c r="H365" s="132"/>
      <c r="I365" s="132"/>
      <c r="J365" s="132"/>
      <c r="K365" s="132"/>
    </row>
    <row r="366" spans="5:11" x14ac:dyDescent="0.25">
      <c r="E366" s="132"/>
      <c r="F366" s="132"/>
      <c r="G366" s="132"/>
      <c r="H366" s="132"/>
      <c r="I366" s="132"/>
      <c r="J366" s="132"/>
      <c r="K366" s="132"/>
    </row>
    <row r="367" spans="5:11" x14ac:dyDescent="0.25">
      <c r="E367" s="132"/>
      <c r="F367" s="132"/>
      <c r="G367" s="132"/>
      <c r="H367" s="132"/>
      <c r="I367" s="132"/>
      <c r="J367" s="132"/>
      <c r="K367" s="132"/>
    </row>
    <row r="368" spans="5:11" x14ac:dyDescent="0.25">
      <c r="E368" s="132"/>
      <c r="F368" s="132"/>
      <c r="G368" s="132"/>
      <c r="H368" s="132"/>
      <c r="I368" s="132"/>
      <c r="J368" s="132"/>
      <c r="K368" s="132"/>
    </row>
    <row r="369" spans="5:11" x14ac:dyDescent="0.25">
      <c r="E369" s="132"/>
      <c r="F369" s="132"/>
      <c r="G369" s="132"/>
      <c r="H369" s="132"/>
      <c r="I369" s="132"/>
      <c r="J369" s="132"/>
      <c r="K369" s="132"/>
    </row>
    <row r="370" spans="5:11" x14ac:dyDescent="0.25">
      <c r="E370" s="132"/>
      <c r="F370" s="132"/>
      <c r="G370" s="132"/>
      <c r="H370" s="132"/>
      <c r="I370" s="132"/>
      <c r="J370" s="132"/>
      <c r="K370" s="132"/>
    </row>
    <row r="371" spans="5:11" x14ac:dyDescent="0.25">
      <c r="E371" s="132"/>
      <c r="F371" s="132"/>
      <c r="G371" s="132"/>
      <c r="H371" s="132"/>
      <c r="I371" s="132"/>
      <c r="J371" s="132"/>
      <c r="K371" s="132"/>
    </row>
    <row r="372" spans="5:11" x14ac:dyDescent="0.25">
      <c r="E372" s="132"/>
      <c r="F372" s="132"/>
      <c r="G372" s="132"/>
      <c r="H372" s="132"/>
      <c r="I372" s="132"/>
      <c r="J372" s="132"/>
      <c r="K372" s="132"/>
    </row>
    <row r="373" spans="5:11" x14ac:dyDescent="0.25">
      <c r="E373" s="132"/>
      <c r="F373" s="132"/>
      <c r="G373" s="132"/>
      <c r="H373" s="132"/>
      <c r="I373" s="132"/>
      <c r="J373" s="132"/>
      <c r="K373" s="132"/>
    </row>
    <row r="374" spans="5:11" x14ac:dyDescent="0.25">
      <c r="E374" s="132"/>
      <c r="F374" s="132"/>
      <c r="G374" s="132"/>
      <c r="H374" s="132"/>
      <c r="I374" s="132"/>
      <c r="J374" s="132"/>
      <c r="K374" s="132"/>
    </row>
    <row r="375" spans="5:11" x14ac:dyDescent="0.25">
      <c r="E375" s="132"/>
      <c r="F375" s="132"/>
      <c r="G375" s="132"/>
      <c r="H375" s="132"/>
      <c r="I375" s="132"/>
      <c r="J375" s="132"/>
      <c r="K375" s="132"/>
    </row>
    <row r="376" spans="5:11" x14ac:dyDescent="0.25">
      <c r="E376" s="132"/>
      <c r="F376" s="132"/>
      <c r="G376" s="132"/>
      <c r="H376" s="132"/>
      <c r="I376" s="132"/>
      <c r="J376" s="132"/>
      <c r="K376" s="132"/>
    </row>
    <row r="377" spans="5:11" x14ac:dyDescent="0.25">
      <c r="E377" s="132"/>
      <c r="F377" s="132"/>
      <c r="G377" s="132"/>
      <c r="H377" s="132"/>
      <c r="I377" s="132"/>
      <c r="J377" s="132"/>
      <c r="K377" s="132"/>
    </row>
    <row r="378" spans="5:11" x14ac:dyDescent="0.25">
      <c r="E378" s="132"/>
      <c r="F378" s="132"/>
      <c r="G378" s="132"/>
      <c r="H378" s="132"/>
      <c r="I378" s="132"/>
      <c r="J378" s="132"/>
      <c r="K378" s="132"/>
    </row>
    <row r="379" spans="5:11" x14ac:dyDescent="0.25">
      <c r="E379" s="132"/>
      <c r="F379" s="132"/>
      <c r="G379" s="132"/>
      <c r="H379" s="132"/>
      <c r="I379" s="132"/>
      <c r="J379" s="132"/>
      <c r="K379" s="132"/>
    </row>
    <row r="380" spans="5:11" x14ac:dyDescent="0.25">
      <c r="E380" s="132"/>
      <c r="F380" s="132"/>
      <c r="G380" s="132"/>
      <c r="H380" s="132"/>
      <c r="I380" s="132"/>
      <c r="J380" s="132"/>
      <c r="K380" s="132"/>
    </row>
    <row r="381" spans="5:11" x14ac:dyDescent="0.25">
      <c r="E381" s="132"/>
      <c r="F381" s="132"/>
      <c r="G381" s="132"/>
      <c r="H381" s="132"/>
      <c r="I381" s="132"/>
      <c r="J381" s="132"/>
      <c r="K381" s="132"/>
    </row>
    <row r="382" spans="5:11" x14ac:dyDescent="0.25">
      <c r="E382" s="132"/>
      <c r="F382" s="132"/>
      <c r="G382" s="132"/>
      <c r="H382" s="132"/>
      <c r="I382" s="132"/>
      <c r="J382" s="132"/>
      <c r="K382" s="132"/>
    </row>
    <row r="383" spans="5:11" x14ac:dyDescent="0.25">
      <c r="E383" s="132"/>
      <c r="F383" s="132"/>
      <c r="G383" s="132"/>
      <c r="H383" s="132"/>
      <c r="I383" s="132"/>
      <c r="J383" s="132"/>
      <c r="K383" s="132"/>
    </row>
    <row r="384" spans="5:11" x14ac:dyDescent="0.25">
      <c r="E384" s="132"/>
      <c r="F384" s="132"/>
      <c r="G384" s="132"/>
      <c r="H384" s="132"/>
      <c r="I384" s="132"/>
      <c r="J384" s="132"/>
      <c r="K384" s="132"/>
    </row>
    <row r="385" spans="5:11" x14ac:dyDescent="0.25">
      <c r="E385" s="132"/>
      <c r="F385" s="132"/>
      <c r="G385" s="132"/>
      <c r="H385" s="132"/>
      <c r="I385" s="132"/>
      <c r="J385" s="132"/>
      <c r="K385" s="132"/>
    </row>
    <row r="386" spans="5:11" x14ac:dyDescent="0.25">
      <c r="E386" s="132"/>
      <c r="F386" s="132"/>
      <c r="G386" s="132"/>
      <c r="H386" s="132"/>
      <c r="I386" s="132"/>
      <c r="J386" s="132"/>
      <c r="K386" s="132"/>
    </row>
    <row r="387" spans="5:11" x14ac:dyDescent="0.25">
      <c r="E387" s="132"/>
      <c r="F387" s="132"/>
      <c r="G387" s="132"/>
      <c r="H387" s="132"/>
      <c r="I387" s="132"/>
      <c r="J387" s="132"/>
      <c r="K387" s="132"/>
    </row>
    <row r="388" spans="5:11" x14ac:dyDescent="0.25">
      <c r="E388" s="132"/>
      <c r="F388" s="132"/>
      <c r="G388" s="132"/>
      <c r="H388" s="132"/>
      <c r="I388" s="132"/>
      <c r="J388" s="132"/>
      <c r="K388" s="132"/>
    </row>
    <row r="389" spans="5:11" x14ac:dyDescent="0.25">
      <c r="E389" s="132"/>
      <c r="F389" s="132"/>
      <c r="G389" s="132"/>
      <c r="H389" s="132"/>
      <c r="I389" s="132"/>
      <c r="J389" s="132"/>
      <c r="K389" s="132"/>
    </row>
    <row r="390" spans="5:11" x14ac:dyDescent="0.25">
      <c r="E390" s="132"/>
      <c r="F390" s="132"/>
      <c r="G390" s="132"/>
      <c r="H390" s="132"/>
      <c r="I390" s="132"/>
      <c r="J390" s="132"/>
      <c r="K390" s="132"/>
    </row>
    <row r="391" spans="5:11" x14ac:dyDescent="0.25">
      <c r="E391" s="132"/>
      <c r="F391" s="132"/>
      <c r="G391" s="132"/>
      <c r="H391" s="132"/>
      <c r="I391" s="132"/>
      <c r="J391" s="132"/>
      <c r="K391" s="132"/>
    </row>
    <row r="392" spans="5:11" x14ac:dyDescent="0.25">
      <c r="E392" s="132"/>
      <c r="F392" s="132"/>
      <c r="G392" s="132"/>
      <c r="H392" s="132"/>
      <c r="I392" s="132"/>
      <c r="J392" s="132"/>
      <c r="K392" s="132"/>
    </row>
    <row r="393" spans="5:11" x14ac:dyDescent="0.25">
      <c r="E393" s="132"/>
      <c r="F393" s="132"/>
      <c r="G393" s="132"/>
      <c r="H393" s="132"/>
      <c r="I393" s="132"/>
      <c r="J393" s="132"/>
      <c r="K393" s="132"/>
    </row>
    <row r="394" spans="5:11" x14ac:dyDescent="0.25">
      <c r="E394" s="132"/>
      <c r="F394" s="132"/>
      <c r="G394" s="132"/>
      <c r="H394" s="132"/>
      <c r="I394" s="132"/>
      <c r="J394" s="132"/>
      <c r="K394" s="132"/>
    </row>
    <row r="395" spans="5:11" x14ac:dyDescent="0.25">
      <c r="E395" s="132"/>
      <c r="F395" s="132"/>
      <c r="G395" s="132"/>
      <c r="H395" s="132"/>
      <c r="I395" s="132"/>
      <c r="J395" s="132"/>
      <c r="K395" s="132"/>
    </row>
    <row r="396" spans="5:11" x14ac:dyDescent="0.25">
      <c r="E396" s="132"/>
      <c r="F396" s="132"/>
      <c r="G396" s="132"/>
      <c r="H396" s="132"/>
      <c r="I396" s="132"/>
      <c r="J396" s="132"/>
      <c r="K396" s="132"/>
    </row>
    <row r="397" spans="5:11" x14ac:dyDescent="0.25">
      <c r="E397" s="132"/>
      <c r="F397" s="132"/>
      <c r="G397" s="132"/>
      <c r="H397" s="132"/>
      <c r="I397" s="132"/>
      <c r="J397" s="132"/>
      <c r="K397" s="132"/>
    </row>
    <row r="398" spans="5:11" x14ac:dyDescent="0.25">
      <c r="E398" s="132"/>
      <c r="F398" s="132"/>
      <c r="G398" s="132"/>
      <c r="H398" s="132"/>
      <c r="I398" s="132"/>
      <c r="J398" s="132"/>
      <c r="K398" s="132"/>
    </row>
    <row r="399" spans="5:11" x14ac:dyDescent="0.25">
      <c r="E399" s="132"/>
      <c r="F399" s="132"/>
      <c r="G399" s="132"/>
      <c r="H399" s="132"/>
      <c r="I399" s="132"/>
      <c r="J399" s="132"/>
      <c r="K399" s="132"/>
    </row>
    <row r="400" spans="5:11" x14ac:dyDescent="0.25">
      <c r="E400" s="132"/>
      <c r="F400" s="132"/>
      <c r="G400" s="132"/>
      <c r="H400" s="132"/>
      <c r="I400" s="132"/>
      <c r="J400" s="132"/>
      <c r="K400" s="132"/>
    </row>
    <row r="401" spans="5:11" x14ac:dyDescent="0.25">
      <c r="E401" s="132"/>
      <c r="F401" s="132"/>
      <c r="G401" s="132"/>
      <c r="H401" s="132"/>
      <c r="I401" s="132"/>
      <c r="J401" s="132"/>
      <c r="K401" s="132"/>
    </row>
    <row r="402" spans="5:11" x14ac:dyDescent="0.25">
      <c r="E402" s="132"/>
      <c r="F402" s="132"/>
      <c r="G402" s="132"/>
      <c r="H402" s="132"/>
      <c r="I402" s="132"/>
      <c r="J402" s="132"/>
      <c r="K402" s="132"/>
    </row>
    <row r="403" spans="5:11" x14ac:dyDescent="0.25">
      <c r="E403" s="132"/>
      <c r="F403" s="132"/>
      <c r="G403" s="132"/>
      <c r="H403" s="132"/>
      <c r="I403" s="132"/>
      <c r="J403" s="132"/>
      <c r="K403" s="132"/>
    </row>
    <row r="404" spans="5:11" x14ac:dyDescent="0.25">
      <c r="E404" s="132"/>
      <c r="F404" s="132"/>
      <c r="G404" s="132"/>
      <c r="H404" s="132"/>
      <c r="I404" s="132"/>
      <c r="J404" s="132"/>
      <c r="K404" s="132"/>
    </row>
    <row r="405" spans="5:11" x14ac:dyDescent="0.25">
      <c r="E405" s="132"/>
      <c r="F405" s="132"/>
      <c r="G405" s="132"/>
      <c r="H405" s="132"/>
      <c r="I405" s="132"/>
      <c r="J405" s="132"/>
      <c r="K405" s="132"/>
    </row>
    <row r="406" spans="5:11" x14ac:dyDescent="0.25">
      <c r="E406" s="132"/>
      <c r="F406" s="132"/>
      <c r="G406" s="132"/>
      <c r="H406" s="132"/>
      <c r="I406" s="132"/>
      <c r="J406" s="132"/>
      <c r="K406" s="132"/>
    </row>
    <row r="407" spans="5:11" x14ac:dyDescent="0.25">
      <c r="E407" s="132"/>
      <c r="F407" s="132"/>
      <c r="G407" s="132"/>
      <c r="H407" s="132"/>
      <c r="I407" s="132"/>
      <c r="J407" s="132"/>
      <c r="K407" s="132"/>
    </row>
    <row r="408" spans="5:11" x14ac:dyDescent="0.25">
      <c r="E408" s="132"/>
      <c r="F408" s="132"/>
      <c r="G408" s="132"/>
      <c r="H408" s="132"/>
      <c r="I408" s="132"/>
      <c r="J408" s="132"/>
      <c r="K408" s="132"/>
    </row>
    <row r="409" spans="5:11" x14ac:dyDescent="0.25">
      <c r="E409" s="132"/>
      <c r="F409" s="132"/>
      <c r="G409" s="132"/>
      <c r="H409" s="132"/>
      <c r="I409" s="132"/>
      <c r="J409" s="132"/>
      <c r="K409" s="132"/>
    </row>
    <row r="410" spans="5:11" x14ac:dyDescent="0.25">
      <c r="E410" s="132"/>
      <c r="F410" s="132"/>
      <c r="G410" s="132"/>
      <c r="H410" s="132"/>
      <c r="I410" s="132"/>
      <c r="J410" s="132"/>
      <c r="K410" s="132"/>
    </row>
    <row r="411" spans="5:11" x14ac:dyDescent="0.25">
      <c r="E411" s="132"/>
      <c r="F411" s="132"/>
      <c r="G411" s="132"/>
      <c r="H411" s="132"/>
      <c r="I411" s="132"/>
      <c r="J411" s="132"/>
      <c r="K411" s="132"/>
    </row>
    <row r="412" spans="5:11" x14ac:dyDescent="0.25">
      <c r="E412" s="132"/>
      <c r="F412" s="132"/>
      <c r="G412" s="132"/>
      <c r="H412" s="132"/>
      <c r="I412" s="132"/>
      <c r="J412" s="132"/>
      <c r="K412" s="132"/>
    </row>
    <row r="413" spans="5:11" x14ac:dyDescent="0.25">
      <c r="E413" s="132"/>
      <c r="F413" s="132"/>
      <c r="G413" s="132"/>
      <c r="H413" s="132"/>
      <c r="I413" s="132"/>
      <c r="J413" s="132"/>
      <c r="K413" s="132"/>
    </row>
    <row r="414" spans="5:11" x14ac:dyDescent="0.25">
      <c r="E414" s="132"/>
      <c r="F414" s="132"/>
      <c r="G414" s="132"/>
      <c r="H414" s="132"/>
      <c r="I414" s="132"/>
      <c r="J414" s="132"/>
      <c r="K414" s="132"/>
    </row>
    <row r="415" spans="5:11" x14ac:dyDescent="0.25">
      <c r="E415" s="132"/>
      <c r="F415" s="132"/>
      <c r="G415" s="132"/>
      <c r="H415" s="132"/>
      <c r="I415" s="132"/>
      <c r="J415" s="132"/>
      <c r="K415" s="132"/>
    </row>
    <row r="416" spans="5:11" x14ac:dyDescent="0.25">
      <c r="E416" s="132"/>
      <c r="F416" s="132"/>
      <c r="G416" s="132"/>
      <c r="H416" s="132"/>
      <c r="I416" s="132"/>
      <c r="J416" s="132"/>
      <c r="K416" s="132"/>
    </row>
    <row r="417" spans="5:11" x14ac:dyDescent="0.25">
      <c r="E417" s="132"/>
      <c r="F417" s="132"/>
      <c r="G417" s="132"/>
      <c r="H417" s="132"/>
      <c r="I417" s="132"/>
      <c r="J417" s="132"/>
      <c r="K417" s="132"/>
    </row>
    <row r="418" spans="5:11" x14ac:dyDescent="0.25">
      <c r="E418" s="132"/>
      <c r="F418" s="132"/>
      <c r="G418" s="132"/>
      <c r="H418" s="132"/>
      <c r="I418" s="132"/>
      <c r="J418" s="132"/>
      <c r="K418" s="132"/>
    </row>
    <row r="419" spans="5:11" x14ac:dyDescent="0.25">
      <c r="E419" s="132"/>
      <c r="F419" s="132"/>
      <c r="G419" s="132"/>
      <c r="H419" s="132"/>
      <c r="I419" s="132"/>
      <c r="J419" s="132"/>
      <c r="K419" s="132"/>
    </row>
    <row r="420" spans="5:11" x14ac:dyDescent="0.25">
      <c r="E420" s="132"/>
      <c r="F420" s="132"/>
      <c r="G420" s="132"/>
      <c r="H420" s="132"/>
      <c r="I420" s="132"/>
      <c r="J420" s="132"/>
      <c r="K420" s="132"/>
    </row>
    <row r="421" spans="5:11" x14ac:dyDescent="0.25">
      <c r="E421" s="132"/>
      <c r="F421" s="132"/>
      <c r="G421" s="132"/>
      <c r="H421" s="132"/>
      <c r="I421" s="132"/>
      <c r="J421" s="132"/>
      <c r="K421" s="132"/>
    </row>
    <row r="422" spans="5:11" x14ac:dyDescent="0.25">
      <c r="E422" s="132"/>
      <c r="F422" s="132"/>
      <c r="G422" s="132"/>
      <c r="H422" s="132"/>
      <c r="I422" s="132"/>
      <c r="J422" s="132"/>
      <c r="K422" s="132"/>
    </row>
    <row r="423" spans="5:11" x14ac:dyDescent="0.25">
      <c r="E423" s="132"/>
      <c r="F423" s="132"/>
      <c r="G423" s="132"/>
      <c r="H423" s="132"/>
      <c r="I423" s="132"/>
      <c r="J423" s="132"/>
      <c r="K423" s="132"/>
    </row>
    <row r="424" spans="5:11" x14ac:dyDescent="0.25">
      <c r="E424" s="132"/>
      <c r="F424" s="132"/>
      <c r="G424" s="132"/>
      <c r="H424" s="132"/>
      <c r="I424" s="132"/>
      <c r="J424" s="132"/>
      <c r="K424" s="132"/>
    </row>
    <row r="425" spans="5:11" x14ac:dyDescent="0.25">
      <c r="E425" s="132"/>
      <c r="F425" s="132"/>
      <c r="G425" s="132"/>
      <c r="H425" s="132"/>
      <c r="I425" s="132"/>
      <c r="J425" s="132"/>
      <c r="K425" s="132"/>
    </row>
    <row r="426" spans="5:11" x14ac:dyDescent="0.25">
      <c r="E426" s="132"/>
      <c r="F426" s="132"/>
      <c r="G426" s="132"/>
      <c r="H426" s="132"/>
      <c r="I426" s="132"/>
      <c r="J426" s="132"/>
      <c r="K426" s="132"/>
    </row>
    <row r="427" spans="5:11" x14ac:dyDescent="0.25">
      <c r="E427" s="132"/>
      <c r="F427" s="132"/>
      <c r="G427" s="132"/>
      <c r="H427" s="132"/>
      <c r="I427" s="132"/>
      <c r="J427" s="132"/>
      <c r="K427" s="132"/>
    </row>
    <row r="428" spans="5:11" x14ac:dyDescent="0.25">
      <c r="E428" s="132"/>
      <c r="F428" s="132"/>
      <c r="G428" s="132"/>
      <c r="H428" s="132"/>
      <c r="I428" s="132"/>
      <c r="J428" s="132"/>
      <c r="K428" s="132"/>
    </row>
    <row r="429" spans="5:11" x14ac:dyDescent="0.25">
      <c r="E429" s="132"/>
      <c r="F429" s="132"/>
      <c r="G429" s="132"/>
      <c r="H429" s="132"/>
      <c r="I429" s="132"/>
      <c r="J429" s="132"/>
      <c r="K429" s="132"/>
    </row>
    <row r="430" spans="5:11" x14ac:dyDescent="0.25">
      <c r="E430" s="132"/>
      <c r="F430" s="132"/>
      <c r="G430" s="132"/>
      <c r="H430" s="132"/>
      <c r="I430" s="132"/>
      <c r="J430" s="132"/>
      <c r="K430" s="132"/>
    </row>
    <row r="431" spans="5:11" x14ac:dyDescent="0.25">
      <c r="E431" s="132"/>
      <c r="F431" s="132"/>
      <c r="G431" s="132"/>
      <c r="H431" s="132"/>
      <c r="I431" s="132"/>
      <c r="J431" s="132"/>
      <c r="K431" s="132"/>
    </row>
    <row r="432" spans="5:11" x14ac:dyDescent="0.25">
      <c r="E432" s="132"/>
      <c r="F432" s="132"/>
      <c r="G432" s="132"/>
      <c r="H432" s="132"/>
      <c r="I432" s="132"/>
      <c r="J432" s="132"/>
      <c r="K432" s="132"/>
    </row>
    <row r="433" spans="5:11" x14ac:dyDescent="0.25">
      <c r="E433" s="132"/>
      <c r="F433" s="132"/>
      <c r="G433" s="132"/>
      <c r="H433" s="132"/>
      <c r="I433" s="132"/>
      <c r="J433" s="132"/>
      <c r="K433" s="132"/>
    </row>
    <row r="434" spans="5:11" x14ac:dyDescent="0.25">
      <c r="E434" s="132"/>
      <c r="F434" s="132"/>
      <c r="G434" s="132"/>
      <c r="H434" s="132"/>
      <c r="I434" s="132"/>
      <c r="J434" s="132"/>
      <c r="K434" s="132"/>
    </row>
    <row r="435" spans="5:11" x14ac:dyDescent="0.25">
      <c r="E435" s="132"/>
      <c r="F435" s="132"/>
      <c r="G435" s="132"/>
      <c r="H435" s="132"/>
      <c r="I435" s="132"/>
      <c r="J435" s="132"/>
      <c r="K435" s="132"/>
    </row>
    <row r="436" spans="5:11" x14ac:dyDescent="0.25">
      <c r="E436" s="132"/>
      <c r="F436" s="132"/>
      <c r="G436" s="132"/>
      <c r="H436" s="132"/>
      <c r="I436" s="132"/>
      <c r="J436" s="132"/>
      <c r="K436" s="132"/>
    </row>
    <row r="437" spans="5:11" x14ac:dyDescent="0.25">
      <c r="E437" s="132"/>
      <c r="F437" s="132"/>
      <c r="G437" s="132"/>
      <c r="H437" s="132"/>
      <c r="I437" s="132"/>
      <c r="J437" s="132"/>
      <c r="K437" s="132"/>
    </row>
    <row r="438" spans="5:11" x14ac:dyDescent="0.25">
      <c r="E438" s="132"/>
      <c r="F438" s="132"/>
      <c r="G438" s="132"/>
      <c r="H438" s="132"/>
      <c r="I438" s="132"/>
      <c r="J438" s="132"/>
      <c r="K438" s="132"/>
    </row>
    <row r="439" spans="5:11" x14ac:dyDescent="0.25">
      <c r="E439" s="132"/>
      <c r="F439" s="132"/>
      <c r="G439" s="132"/>
      <c r="H439" s="132"/>
      <c r="I439" s="132"/>
      <c r="J439" s="132"/>
      <c r="K439" s="132"/>
    </row>
    <row r="440" spans="5:11" x14ac:dyDescent="0.25">
      <c r="E440" s="132"/>
      <c r="F440" s="132"/>
      <c r="G440" s="132"/>
      <c r="H440" s="132"/>
      <c r="I440" s="132"/>
      <c r="J440" s="132"/>
      <c r="K440" s="132"/>
    </row>
    <row r="441" spans="5:11" x14ac:dyDescent="0.25">
      <c r="E441" s="132"/>
      <c r="F441" s="132"/>
      <c r="G441" s="132"/>
      <c r="H441" s="132"/>
      <c r="I441" s="132"/>
      <c r="J441" s="132"/>
      <c r="K441" s="132"/>
    </row>
    <row r="442" spans="5:11" x14ac:dyDescent="0.25">
      <c r="E442" s="132"/>
      <c r="F442" s="132"/>
      <c r="G442" s="132"/>
      <c r="H442" s="132"/>
      <c r="I442" s="132"/>
      <c r="J442" s="132"/>
      <c r="K442" s="132"/>
    </row>
    <row r="443" spans="5:11" x14ac:dyDescent="0.25">
      <c r="E443" s="132"/>
      <c r="F443" s="132"/>
      <c r="G443" s="132"/>
      <c r="H443" s="132"/>
      <c r="I443" s="132"/>
      <c r="J443" s="132"/>
      <c r="K443" s="132"/>
    </row>
    <row r="444" spans="5:11" x14ac:dyDescent="0.25">
      <c r="E444" s="132"/>
      <c r="F444" s="132"/>
      <c r="G444" s="132"/>
      <c r="H444" s="132"/>
      <c r="I444" s="132"/>
      <c r="J444" s="132"/>
      <c r="K444" s="132"/>
    </row>
    <row r="445" spans="5:11" x14ac:dyDescent="0.25">
      <c r="E445" s="132"/>
      <c r="F445" s="132"/>
      <c r="G445" s="132"/>
      <c r="H445" s="132"/>
      <c r="I445" s="132"/>
      <c r="J445" s="132"/>
      <c r="K445" s="132"/>
    </row>
    <row r="446" spans="5:11" x14ac:dyDescent="0.25">
      <c r="E446" s="132"/>
      <c r="F446" s="132"/>
      <c r="G446" s="132"/>
      <c r="H446" s="132"/>
      <c r="I446" s="132"/>
      <c r="J446" s="132"/>
      <c r="K446" s="132"/>
    </row>
    <row r="447" spans="5:11" x14ac:dyDescent="0.25">
      <c r="E447" s="132"/>
      <c r="F447" s="132"/>
      <c r="G447" s="132"/>
      <c r="H447" s="132"/>
      <c r="I447" s="132"/>
      <c r="J447" s="132"/>
      <c r="K447" s="132"/>
    </row>
    <row r="448" spans="5:11" x14ac:dyDescent="0.25">
      <c r="E448" s="132"/>
      <c r="F448" s="132"/>
      <c r="G448" s="132"/>
      <c r="H448" s="132"/>
      <c r="I448" s="132"/>
      <c r="J448" s="132"/>
      <c r="K448" s="132"/>
    </row>
    <row r="449" spans="5:11" x14ac:dyDescent="0.25">
      <c r="E449" s="132"/>
      <c r="F449" s="132"/>
      <c r="G449" s="132"/>
      <c r="H449" s="132"/>
      <c r="I449" s="132"/>
      <c r="J449" s="132"/>
      <c r="K449" s="132"/>
    </row>
    <row r="450" spans="5:11" x14ac:dyDescent="0.25">
      <c r="E450" s="132"/>
      <c r="F450" s="132"/>
      <c r="G450" s="132"/>
      <c r="H450" s="132"/>
      <c r="I450" s="132"/>
      <c r="J450" s="132"/>
      <c r="K450" s="132"/>
    </row>
    <row r="451" spans="5:11" x14ac:dyDescent="0.25">
      <c r="E451" s="132"/>
      <c r="F451" s="132"/>
      <c r="G451" s="132"/>
      <c r="H451" s="132"/>
      <c r="I451" s="132"/>
      <c r="J451" s="132"/>
      <c r="K451" s="132"/>
    </row>
    <row r="452" spans="5:11" x14ac:dyDescent="0.25">
      <c r="E452" s="132"/>
      <c r="F452" s="132"/>
      <c r="G452" s="132"/>
      <c r="H452" s="132"/>
      <c r="I452" s="132"/>
      <c r="J452" s="132"/>
      <c r="K452" s="132"/>
    </row>
    <row r="453" spans="5:11" x14ac:dyDescent="0.25">
      <c r="E453" s="132"/>
      <c r="F453" s="132"/>
      <c r="G453" s="132"/>
      <c r="H453" s="132"/>
      <c r="I453" s="132"/>
      <c r="J453" s="132"/>
      <c r="K453" s="132"/>
    </row>
    <row r="454" spans="5:11" x14ac:dyDescent="0.25">
      <c r="E454" s="132"/>
      <c r="F454" s="132"/>
      <c r="G454" s="132"/>
      <c r="H454" s="132"/>
      <c r="I454" s="132"/>
      <c r="J454" s="132"/>
      <c r="K454" s="132"/>
    </row>
    <row r="455" spans="5:11" x14ac:dyDescent="0.25">
      <c r="E455" s="132"/>
      <c r="F455" s="132"/>
      <c r="G455" s="132"/>
      <c r="H455" s="132"/>
      <c r="I455" s="132"/>
      <c r="J455" s="132"/>
      <c r="K455" s="132"/>
    </row>
    <row r="456" spans="5:11" x14ac:dyDescent="0.25">
      <c r="E456" s="132"/>
      <c r="F456" s="132"/>
      <c r="G456" s="132"/>
      <c r="H456" s="132"/>
      <c r="I456" s="132"/>
      <c r="J456" s="132"/>
      <c r="K456" s="132"/>
    </row>
    <row r="457" spans="5:11" x14ac:dyDescent="0.25">
      <c r="E457" s="132"/>
      <c r="F457" s="132"/>
      <c r="G457" s="132"/>
      <c r="H457" s="132"/>
      <c r="I457" s="132"/>
      <c r="J457" s="132"/>
      <c r="K457" s="132"/>
    </row>
    <row r="458" spans="5:11" x14ac:dyDescent="0.25">
      <c r="E458" s="132"/>
      <c r="F458" s="132"/>
      <c r="G458" s="132"/>
      <c r="H458" s="132"/>
      <c r="I458" s="132"/>
      <c r="J458" s="132"/>
      <c r="K458" s="132"/>
    </row>
    <row r="459" spans="5:11" x14ac:dyDescent="0.25">
      <c r="E459" s="132"/>
      <c r="F459" s="132"/>
      <c r="G459" s="132"/>
      <c r="H459" s="132"/>
      <c r="I459" s="132"/>
      <c r="J459" s="132"/>
      <c r="K459" s="132"/>
    </row>
    <row r="460" spans="5:11" x14ac:dyDescent="0.25">
      <c r="E460" s="132"/>
      <c r="F460" s="132"/>
      <c r="G460" s="132"/>
      <c r="H460" s="132"/>
      <c r="I460" s="132"/>
      <c r="J460" s="132"/>
      <c r="K460" s="132"/>
    </row>
    <row r="461" spans="5:11" x14ac:dyDescent="0.25">
      <c r="E461" s="132"/>
      <c r="F461" s="132"/>
      <c r="G461" s="132"/>
      <c r="H461" s="132"/>
      <c r="I461" s="132"/>
      <c r="J461" s="132"/>
      <c r="K461" s="132"/>
    </row>
    <row r="462" spans="5:11" x14ac:dyDescent="0.25">
      <c r="E462" s="132"/>
      <c r="F462" s="132"/>
      <c r="G462" s="132"/>
      <c r="H462" s="132"/>
      <c r="I462" s="132"/>
      <c r="J462" s="132"/>
      <c r="K462" s="132"/>
    </row>
    <row r="463" spans="5:11" x14ac:dyDescent="0.25">
      <c r="E463" s="132"/>
      <c r="F463" s="132"/>
      <c r="G463" s="132"/>
      <c r="H463" s="132"/>
      <c r="I463" s="132"/>
      <c r="J463" s="132"/>
      <c r="K463" s="132"/>
    </row>
    <row r="464" spans="5:11" x14ac:dyDescent="0.25">
      <c r="E464" s="132"/>
      <c r="F464" s="132"/>
      <c r="G464" s="132"/>
      <c r="H464" s="132"/>
      <c r="I464" s="132"/>
      <c r="J464" s="132"/>
      <c r="K464" s="132"/>
    </row>
    <row r="465" spans="5:11" x14ac:dyDescent="0.25">
      <c r="E465" s="132"/>
      <c r="F465" s="132"/>
      <c r="G465" s="132"/>
      <c r="H465" s="132"/>
      <c r="I465" s="132"/>
      <c r="J465" s="132"/>
      <c r="K465" s="132"/>
    </row>
    <row r="466" spans="5:11" x14ac:dyDescent="0.25">
      <c r="E466" s="132"/>
      <c r="F466" s="132"/>
      <c r="G466" s="132"/>
      <c r="H466" s="132"/>
      <c r="I466" s="132"/>
      <c r="J466" s="132"/>
      <c r="K466" s="132"/>
    </row>
    <row r="467" spans="5:11" x14ac:dyDescent="0.25">
      <c r="E467" s="132"/>
      <c r="F467" s="132"/>
      <c r="G467" s="132"/>
      <c r="H467" s="132"/>
      <c r="I467" s="132"/>
      <c r="J467" s="132"/>
      <c r="K467" s="132"/>
    </row>
    <row r="468" spans="5:11" x14ac:dyDescent="0.25">
      <c r="E468" s="132"/>
      <c r="F468" s="132"/>
      <c r="G468" s="132"/>
      <c r="H468" s="132"/>
      <c r="I468" s="132"/>
      <c r="J468" s="132"/>
      <c r="K468" s="132"/>
    </row>
    <row r="469" spans="5:11" x14ac:dyDescent="0.25">
      <c r="E469" s="132"/>
      <c r="F469" s="132"/>
      <c r="G469" s="132"/>
      <c r="H469" s="132"/>
      <c r="I469" s="132"/>
      <c r="J469" s="132"/>
      <c r="K469" s="132"/>
    </row>
    <row r="470" spans="5:11" x14ac:dyDescent="0.25">
      <c r="E470" s="132"/>
      <c r="F470" s="132"/>
      <c r="G470" s="132"/>
      <c r="H470" s="132"/>
      <c r="I470" s="132"/>
      <c r="J470" s="132"/>
      <c r="K470" s="132"/>
    </row>
    <row r="471" spans="5:11" x14ac:dyDescent="0.25">
      <c r="E471" s="132"/>
      <c r="F471" s="132"/>
      <c r="G471" s="132"/>
      <c r="H471" s="132"/>
      <c r="I471" s="132"/>
      <c r="J471" s="132"/>
      <c r="K471" s="132"/>
    </row>
    <row r="472" spans="5:11" x14ac:dyDescent="0.25">
      <c r="E472" s="132"/>
      <c r="F472" s="132"/>
      <c r="G472" s="132"/>
      <c r="H472" s="132"/>
      <c r="I472" s="132"/>
      <c r="J472" s="132"/>
      <c r="K472" s="132"/>
    </row>
    <row r="473" spans="5:11" x14ac:dyDescent="0.25">
      <c r="E473" s="132"/>
      <c r="F473" s="132"/>
      <c r="G473" s="132"/>
      <c r="H473" s="132"/>
      <c r="I473" s="132"/>
      <c r="J473" s="132"/>
      <c r="K473" s="132"/>
    </row>
    <row r="474" spans="5:11" x14ac:dyDescent="0.25">
      <c r="E474" s="132"/>
      <c r="F474" s="132"/>
      <c r="G474" s="132"/>
      <c r="H474" s="132"/>
      <c r="I474" s="132"/>
      <c r="J474" s="132"/>
      <c r="K474" s="132"/>
    </row>
    <row r="475" spans="5:11" x14ac:dyDescent="0.25">
      <c r="E475" s="132"/>
      <c r="F475" s="132"/>
      <c r="G475" s="132"/>
      <c r="H475" s="132"/>
      <c r="I475" s="132"/>
      <c r="J475" s="132"/>
      <c r="K475" s="132"/>
    </row>
    <row r="476" spans="5:11" x14ac:dyDescent="0.25">
      <c r="E476" s="132"/>
      <c r="F476" s="132"/>
      <c r="G476" s="132"/>
      <c r="H476" s="132"/>
      <c r="I476" s="132"/>
      <c r="J476" s="132"/>
      <c r="K476" s="132"/>
    </row>
    <row r="477" spans="5:11" x14ac:dyDescent="0.25">
      <c r="E477" s="132"/>
      <c r="F477" s="132"/>
      <c r="G477" s="132"/>
      <c r="H477" s="132"/>
      <c r="I477" s="132"/>
      <c r="J477" s="132"/>
      <c r="K477" s="132"/>
    </row>
    <row r="478" spans="5:11" x14ac:dyDescent="0.25">
      <c r="E478" s="132"/>
      <c r="F478" s="132"/>
      <c r="G478" s="132"/>
      <c r="H478" s="132"/>
      <c r="I478" s="132"/>
      <c r="J478" s="132"/>
      <c r="K478" s="132"/>
    </row>
    <row r="479" spans="5:11" x14ac:dyDescent="0.25">
      <c r="E479" s="132"/>
      <c r="F479" s="132"/>
      <c r="G479" s="132"/>
      <c r="H479" s="132"/>
      <c r="I479" s="132"/>
      <c r="J479" s="132"/>
      <c r="K479" s="132"/>
    </row>
    <row r="480" spans="5:11" x14ac:dyDescent="0.25">
      <c r="E480" s="132"/>
      <c r="F480" s="132"/>
      <c r="G480" s="132"/>
      <c r="H480" s="132"/>
      <c r="I480" s="132"/>
      <c r="J480" s="132"/>
      <c r="K480" s="132"/>
    </row>
    <row r="481" spans="5:11" x14ac:dyDescent="0.25">
      <c r="E481" s="132"/>
      <c r="F481" s="132"/>
      <c r="G481" s="132"/>
      <c r="H481" s="132"/>
      <c r="I481" s="132"/>
      <c r="J481" s="132"/>
      <c r="K481" s="132"/>
    </row>
    <row r="482" spans="5:11" x14ac:dyDescent="0.25">
      <c r="E482" s="132"/>
      <c r="F482" s="132"/>
      <c r="G482" s="132"/>
      <c r="H482" s="132"/>
      <c r="I482" s="132"/>
      <c r="J482" s="132"/>
      <c r="K482" s="132"/>
    </row>
    <row r="483" spans="5:11" x14ac:dyDescent="0.25">
      <c r="E483" s="132"/>
      <c r="F483" s="132"/>
      <c r="G483" s="132"/>
      <c r="H483" s="132"/>
      <c r="I483" s="132"/>
      <c r="J483" s="132"/>
      <c r="K483" s="132"/>
    </row>
    <row r="484" spans="5:11" x14ac:dyDescent="0.25">
      <c r="E484" s="132"/>
      <c r="F484" s="132"/>
      <c r="G484" s="132"/>
      <c r="H484" s="132"/>
      <c r="I484" s="132"/>
      <c r="J484" s="132"/>
      <c r="K484" s="132"/>
    </row>
    <row r="485" spans="5:11" x14ac:dyDescent="0.25">
      <c r="E485" s="132"/>
      <c r="F485" s="132"/>
      <c r="G485" s="132"/>
      <c r="H485" s="132"/>
      <c r="I485" s="132"/>
      <c r="J485" s="132"/>
      <c r="K485" s="132"/>
    </row>
    <row r="486" spans="5:11" x14ac:dyDescent="0.25">
      <c r="E486" s="132"/>
      <c r="F486" s="132"/>
      <c r="G486" s="132"/>
      <c r="H486" s="132"/>
      <c r="I486" s="132"/>
      <c r="J486" s="132"/>
      <c r="K486" s="132"/>
    </row>
    <row r="487" spans="5:11" x14ac:dyDescent="0.25">
      <c r="E487" s="132"/>
      <c r="F487" s="132"/>
      <c r="G487" s="132"/>
      <c r="H487" s="132"/>
      <c r="I487" s="132"/>
      <c r="J487" s="132"/>
      <c r="K487" s="132"/>
    </row>
    <row r="488" spans="5:11" x14ac:dyDescent="0.25">
      <c r="E488" s="132"/>
      <c r="F488" s="132"/>
      <c r="G488" s="132"/>
      <c r="H488" s="132"/>
      <c r="I488" s="132"/>
      <c r="J488" s="132"/>
      <c r="K488" s="132"/>
    </row>
    <row r="489" spans="5:11" x14ac:dyDescent="0.25">
      <c r="E489" s="132"/>
      <c r="F489" s="132"/>
      <c r="G489" s="132"/>
      <c r="H489" s="132"/>
      <c r="I489" s="132"/>
      <c r="J489" s="132"/>
      <c r="K489" s="132"/>
    </row>
    <row r="490" spans="5:11" x14ac:dyDescent="0.25">
      <c r="E490" s="132"/>
      <c r="F490" s="132"/>
      <c r="G490" s="132"/>
      <c r="H490" s="132"/>
      <c r="I490" s="132"/>
      <c r="J490" s="132"/>
      <c r="K490" s="132"/>
    </row>
    <row r="491" spans="5:11" x14ac:dyDescent="0.25">
      <c r="E491" s="132"/>
      <c r="F491" s="132"/>
      <c r="G491" s="132"/>
      <c r="H491" s="132"/>
      <c r="I491" s="132"/>
      <c r="J491" s="132"/>
      <c r="K491" s="132"/>
    </row>
    <row r="492" spans="5:11" x14ac:dyDescent="0.25">
      <c r="E492" s="132"/>
      <c r="F492" s="132"/>
      <c r="G492" s="132"/>
      <c r="H492" s="132"/>
      <c r="I492" s="132"/>
      <c r="J492" s="132"/>
      <c r="K492" s="132"/>
    </row>
    <row r="493" spans="5:11" x14ac:dyDescent="0.25">
      <c r="E493" s="132"/>
      <c r="F493" s="132"/>
      <c r="G493" s="132"/>
      <c r="H493" s="132"/>
      <c r="I493" s="132"/>
      <c r="J493" s="132"/>
      <c r="K493" s="132"/>
    </row>
    <row r="494" spans="5:11" x14ac:dyDescent="0.25">
      <c r="E494" s="132"/>
      <c r="F494" s="132"/>
      <c r="G494" s="132"/>
      <c r="H494" s="132"/>
      <c r="I494" s="132"/>
      <c r="J494" s="132"/>
      <c r="K494" s="132"/>
    </row>
    <row r="495" spans="5:11" x14ac:dyDescent="0.25">
      <c r="E495" s="132"/>
      <c r="F495" s="132"/>
      <c r="G495" s="132"/>
      <c r="H495" s="132"/>
      <c r="I495" s="132"/>
      <c r="J495" s="132"/>
      <c r="K495" s="132"/>
    </row>
    <row r="496" spans="5:11" x14ac:dyDescent="0.25">
      <c r="E496" s="132"/>
      <c r="F496" s="132"/>
      <c r="G496" s="132"/>
      <c r="H496" s="132"/>
      <c r="I496" s="132"/>
      <c r="J496" s="132"/>
      <c r="K496" s="132"/>
    </row>
    <row r="497" spans="5:11" x14ac:dyDescent="0.25">
      <c r="E497" s="132"/>
      <c r="F497" s="132"/>
      <c r="G497" s="132"/>
      <c r="H497" s="132"/>
      <c r="I497" s="132"/>
      <c r="J497" s="132"/>
      <c r="K497" s="132"/>
    </row>
    <row r="498" spans="5:11" x14ac:dyDescent="0.25">
      <c r="E498" s="132"/>
      <c r="F498" s="132"/>
      <c r="G498" s="132"/>
      <c r="H498" s="132"/>
      <c r="I498" s="132"/>
      <c r="J498" s="132"/>
      <c r="K498" s="132"/>
    </row>
    <row r="499" spans="5:11" x14ac:dyDescent="0.25">
      <c r="E499" s="132"/>
      <c r="F499" s="132"/>
      <c r="G499" s="132"/>
      <c r="H499" s="132"/>
      <c r="I499" s="132"/>
      <c r="J499" s="132"/>
      <c r="K499" s="132"/>
    </row>
    <row r="500" spans="5:11" x14ac:dyDescent="0.25">
      <c r="E500" s="132"/>
      <c r="F500" s="132"/>
      <c r="G500" s="132"/>
      <c r="H500" s="132"/>
      <c r="I500" s="132"/>
      <c r="J500" s="132"/>
      <c r="K500" s="132"/>
    </row>
    <row r="501" spans="5:11" x14ac:dyDescent="0.25">
      <c r="E501" s="132"/>
      <c r="F501" s="132"/>
      <c r="G501" s="132"/>
      <c r="H501" s="132"/>
      <c r="I501" s="132"/>
      <c r="J501" s="132"/>
      <c r="K501" s="132"/>
    </row>
    <row r="502" spans="5:11" x14ac:dyDescent="0.25">
      <c r="E502" s="132"/>
      <c r="F502" s="132"/>
      <c r="G502" s="132"/>
      <c r="H502" s="132"/>
      <c r="I502" s="132"/>
      <c r="J502" s="132"/>
      <c r="K502" s="132"/>
    </row>
    <row r="503" spans="5:11" x14ac:dyDescent="0.25">
      <c r="E503" s="132"/>
      <c r="F503" s="132"/>
      <c r="G503" s="132"/>
      <c r="H503" s="132"/>
      <c r="I503" s="132"/>
      <c r="J503" s="132"/>
      <c r="K503" s="132"/>
    </row>
    <row r="504" spans="5:11" x14ac:dyDescent="0.25">
      <c r="E504" s="132"/>
      <c r="F504" s="132"/>
      <c r="G504" s="132"/>
      <c r="H504" s="132"/>
      <c r="I504" s="132"/>
      <c r="J504" s="132"/>
      <c r="K504" s="132"/>
    </row>
    <row r="505" spans="5:11" x14ac:dyDescent="0.25">
      <c r="E505" s="132"/>
      <c r="F505" s="132"/>
      <c r="G505" s="132"/>
      <c r="H505" s="132"/>
      <c r="I505" s="132"/>
      <c r="J505" s="132"/>
      <c r="K505" s="132"/>
    </row>
    <row r="506" spans="5:11" x14ac:dyDescent="0.25">
      <c r="E506" s="132"/>
      <c r="F506" s="132"/>
      <c r="G506" s="132"/>
      <c r="H506" s="132"/>
      <c r="I506" s="132"/>
      <c r="J506" s="132"/>
      <c r="K506" s="132"/>
    </row>
    <row r="507" spans="5:11" x14ac:dyDescent="0.25">
      <c r="E507" s="132"/>
      <c r="F507" s="132"/>
      <c r="G507" s="132"/>
      <c r="H507" s="132"/>
      <c r="I507" s="132"/>
      <c r="J507" s="132"/>
      <c r="K507" s="132"/>
    </row>
    <row r="508" spans="5:11" x14ac:dyDescent="0.25">
      <c r="E508" s="132"/>
      <c r="F508" s="132"/>
      <c r="G508" s="132"/>
      <c r="H508" s="132"/>
      <c r="I508" s="132"/>
      <c r="J508" s="132"/>
      <c r="K508" s="132"/>
    </row>
    <row r="509" spans="5:11" x14ac:dyDescent="0.25">
      <c r="E509" s="132"/>
      <c r="F509" s="132"/>
      <c r="G509" s="132"/>
      <c r="H509" s="132"/>
      <c r="I509" s="132"/>
      <c r="J509" s="132"/>
      <c r="K509" s="132"/>
    </row>
    <row r="510" spans="5:11" x14ac:dyDescent="0.25">
      <c r="E510" s="132"/>
      <c r="F510" s="132"/>
      <c r="G510" s="132"/>
      <c r="H510" s="132"/>
      <c r="I510" s="132"/>
      <c r="J510" s="132"/>
      <c r="K510" s="132"/>
    </row>
    <row r="511" spans="5:11" x14ac:dyDescent="0.25">
      <c r="E511" s="132"/>
      <c r="F511" s="132"/>
      <c r="G511" s="132"/>
      <c r="H511" s="132"/>
      <c r="I511" s="132"/>
      <c r="J511" s="132"/>
      <c r="K511" s="132"/>
    </row>
    <row r="512" spans="5:11" x14ac:dyDescent="0.25">
      <c r="E512" s="132"/>
      <c r="F512" s="132"/>
      <c r="G512" s="132"/>
      <c r="H512" s="132"/>
      <c r="I512" s="132"/>
      <c r="J512" s="132"/>
      <c r="K512" s="132"/>
    </row>
    <row r="513" spans="5:11" x14ac:dyDescent="0.25">
      <c r="E513" s="132"/>
      <c r="F513" s="132"/>
      <c r="G513" s="132"/>
      <c r="H513" s="132"/>
      <c r="I513" s="132"/>
      <c r="J513" s="132"/>
      <c r="K513" s="132"/>
    </row>
    <row r="514" spans="5:11" x14ac:dyDescent="0.25">
      <c r="E514" s="132"/>
      <c r="F514" s="132"/>
      <c r="G514" s="132"/>
      <c r="H514" s="132"/>
      <c r="I514" s="132"/>
      <c r="J514" s="132"/>
      <c r="K514" s="132"/>
    </row>
    <row r="515" spans="5:11" x14ac:dyDescent="0.25">
      <c r="E515" s="132"/>
      <c r="F515" s="132"/>
      <c r="G515" s="132"/>
      <c r="H515" s="132"/>
      <c r="I515" s="132"/>
      <c r="J515" s="132"/>
      <c r="K515" s="132"/>
    </row>
    <row r="516" spans="5:11" x14ac:dyDescent="0.25">
      <c r="E516" s="132"/>
      <c r="F516" s="132"/>
      <c r="G516" s="132"/>
      <c r="H516" s="132"/>
      <c r="I516" s="132"/>
      <c r="J516" s="132"/>
      <c r="K516" s="132"/>
    </row>
    <row r="517" spans="5:11" x14ac:dyDescent="0.25">
      <c r="E517" s="132"/>
      <c r="F517" s="132"/>
      <c r="G517" s="132"/>
      <c r="H517" s="132"/>
      <c r="I517" s="132"/>
      <c r="J517" s="132"/>
      <c r="K517" s="132"/>
    </row>
    <row r="518" spans="5:11" x14ac:dyDescent="0.25">
      <c r="E518" s="132"/>
      <c r="F518" s="132"/>
      <c r="G518" s="132"/>
      <c r="H518" s="132"/>
      <c r="I518" s="132"/>
      <c r="J518" s="132"/>
      <c r="K518" s="132"/>
    </row>
    <row r="519" spans="5:11" x14ac:dyDescent="0.25">
      <c r="E519" s="132"/>
      <c r="F519" s="132"/>
      <c r="G519" s="132"/>
      <c r="H519" s="132"/>
      <c r="I519" s="132"/>
      <c r="J519" s="132"/>
      <c r="K519" s="132"/>
    </row>
    <row r="520" spans="5:11" x14ac:dyDescent="0.25">
      <c r="E520" s="132"/>
      <c r="F520" s="132"/>
      <c r="G520" s="132"/>
      <c r="H520" s="132"/>
      <c r="I520" s="132"/>
      <c r="J520" s="132"/>
      <c r="K520" s="132"/>
    </row>
    <row r="521" spans="5:11" x14ac:dyDescent="0.25">
      <c r="E521" s="132"/>
      <c r="F521" s="132"/>
      <c r="G521" s="132"/>
      <c r="H521" s="132"/>
      <c r="I521" s="132"/>
      <c r="J521" s="132"/>
      <c r="K521" s="132"/>
    </row>
    <row r="522" spans="5:11" x14ac:dyDescent="0.25">
      <c r="E522" s="132"/>
      <c r="F522" s="132"/>
      <c r="G522" s="132"/>
      <c r="H522" s="132"/>
      <c r="I522" s="132"/>
      <c r="J522" s="132"/>
      <c r="K522" s="132"/>
    </row>
    <row r="523" spans="5:11" x14ac:dyDescent="0.25">
      <c r="E523" s="132"/>
      <c r="F523" s="132"/>
      <c r="G523" s="132"/>
      <c r="H523" s="132"/>
      <c r="I523" s="132"/>
      <c r="J523" s="132"/>
      <c r="K523" s="132"/>
    </row>
    <row r="524" spans="5:11" x14ac:dyDescent="0.25">
      <c r="E524" s="132"/>
      <c r="F524" s="132"/>
      <c r="G524" s="132"/>
      <c r="H524" s="132"/>
      <c r="I524" s="132"/>
      <c r="J524" s="132"/>
      <c r="K524" s="132"/>
    </row>
    <row r="525" spans="5:11" x14ac:dyDescent="0.25">
      <c r="E525" s="132"/>
      <c r="F525" s="132"/>
      <c r="G525" s="132"/>
      <c r="H525" s="132"/>
      <c r="I525" s="132"/>
      <c r="J525" s="132"/>
      <c r="K525" s="132"/>
    </row>
    <row r="526" spans="5:11" x14ac:dyDescent="0.25">
      <c r="E526" s="132"/>
      <c r="F526" s="132"/>
      <c r="G526" s="132"/>
      <c r="H526" s="132"/>
      <c r="I526" s="132"/>
      <c r="J526" s="132"/>
      <c r="K526" s="132"/>
    </row>
    <row r="527" spans="5:11" x14ac:dyDescent="0.25">
      <c r="E527" s="132"/>
      <c r="F527" s="132"/>
      <c r="G527" s="132"/>
      <c r="H527" s="132"/>
      <c r="I527" s="132"/>
      <c r="J527" s="132"/>
      <c r="K527" s="132"/>
    </row>
    <row r="528" spans="5:11" x14ac:dyDescent="0.25">
      <c r="E528" s="132"/>
      <c r="F528" s="132"/>
      <c r="G528" s="132"/>
      <c r="H528" s="132"/>
      <c r="I528" s="132"/>
      <c r="J528" s="132"/>
      <c r="K528" s="132"/>
    </row>
    <row r="529" spans="5:11" x14ac:dyDescent="0.25">
      <c r="E529" s="132"/>
      <c r="F529" s="132"/>
      <c r="G529" s="132"/>
      <c r="H529" s="132"/>
      <c r="I529" s="132"/>
      <c r="J529" s="132"/>
      <c r="K529" s="132"/>
    </row>
    <row r="530" spans="5:11" x14ac:dyDescent="0.25">
      <c r="E530" s="132"/>
      <c r="F530" s="132"/>
      <c r="G530" s="132"/>
      <c r="H530" s="132"/>
      <c r="I530" s="132"/>
      <c r="J530" s="132"/>
      <c r="K530" s="132"/>
    </row>
    <row r="531" spans="5:11" x14ac:dyDescent="0.25">
      <c r="E531" s="132"/>
      <c r="F531" s="132"/>
      <c r="G531" s="132"/>
      <c r="H531" s="132"/>
      <c r="I531" s="132"/>
      <c r="J531" s="132"/>
      <c r="K531" s="132"/>
    </row>
    <row r="532" spans="5:11" x14ac:dyDescent="0.25">
      <c r="E532" s="132"/>
      <c r="F532" s="132"/>
      <c r="G532" s="132"/>
      <c r="H532" s="132"/>
      <c r="I532" s="132"/>
      <c r="J532" s="132"/>
      <c r="K532" s="132"/>
    </row>
    <row r="533" spans="5:11" x14ac:dyDescent="0.25">
      <c r="E533" s="132"/>
      <c r="F533" s="132"/>
      <c r="G533" s="132"/>
      <c r="H533" s="132"/>
      <c r="I533" s="132"/>
      <c r="J533" s="132"/>
      <c r="K533" s="132"/>
    </row>
    <row r="534" spans="5:11" x14ac:dyDescent="0.25">
      <c r="E534" s="132"/>
      <c r="F534" s="132"/>
      <c r="G534" s="132"/>
      <c r="H534" s="132"/>
      <c r="I534" s="132"/>
      <c r="J534" s="132"/>
      <c r="K534" s="132"/>
    </row>
    <row r="535" spans="5:11" x14ac:dyDescent="0.25">
      <c r="E535" s="132"/>
      <c r="F535" s="132"/>
      <c r="G535" s="132"/>
      <c r="H535" s="132"/>
      <c r="I535" s="132"/>
      <c r="J535" s="132"/>
      <c r="K535" s="132"/>
    </row>
    <row r="536" spans="5:11" x14ac:dyDescent="0.25">
      <c r="E536" s="132"/>
      <c r="F536" s="132"/>
      <c r="G536" s="132"/>
      <c r="H536" s="132"/>
      <c r="I536" s="132"/>
      <c r="J536" s="132"/>
      <c r="K536" s="132"/>
    </row>
    <row r="537" spans="5:11" x14ac:dyDescent="0.25">
      <c r="E537" s="132"/>
      <c r="F537" s="132"/>
      <c r="G537" s="132"/>
      <c r="H537" s="132"/>
      <c r="I537" s="132"/>
      <c r="J537" s="132"/>
      <c r="K537" s="132"/>
    </row>
    <row r="538" spans="5:11" x14ac:dyDescent="0.25">
      <c r="E538" s="132"/>
      <c r="F538" s="132"/>
      <c r="G538" s="132"/>
      <c r="H538" s="132"/>
      <c r="I538" s="132"/>
      <c r="J538" s="132"/>
      <c r="K538" s="132"/>
    </row>
    <row r="539" spans="5:11" x14ac:dyDescent="0.25">
      <c r="E539" s="132"/>
      <c r="F539" s="132"/>
      <c r="G539" s="132"/>
      <c r="H539" s="132"/>
      <c r="I539" s="132"/>
      <c r="J539" s="132"/>
      <c r="K539" s="132"/>
    </row>
    <row r="540" spans="5:11" x14ac:dyDescent="0.25">
      <c r="E540" s="132"/>
      <c r="F540" s="132"/>
      <c r="G540" s="132"/>
      <c r="H540" s="132"/>
      <c r="I540" s="132"/>
      <c r="J540" s="132"/>
      <c r="K540" s="132"/>
    </row>
    <row r="541" spans="5:11" x14ac:dyDescent="0.25">
      <c r="E541" s="132"/>
      <c r="F541" s="132"/>
      <c r="G541" s="132"/>
      <c r="H541" s="132"/>
      <c r="I541" s="132"/>
      <c r="J541" s="132"/>
      <c r="K541" s="132"/>
    </row>
    <row r="542" spans="5:11" x14ac:dyDescent="0.25">
      <c r="E542" s="132"/>
      <c r="F542" s="132"/>
      <c r="G542" s="132"/>
      <c r="H542" s="132"/>
      <c r="I542" s="132"/>
      <c r="J542" s="132"/>
      <c r="K542" s="132"/>
    </row>
    <row r="543" spans="5:11" x14ac:dyDescent="0.25">
      <c r="E543" s="132"/>
      <c r="F543" s="132"/>
      <c r="G543" s="132"/>
      <c r="H543" s="132"/>
      <c r="I543" s="132"/>
      <c r="J543" s="132"/>
      <c r="K543" s="132"/>
    </row>
    <row r="544" spans="5:11" x14ac:dyDescent="0.25">
      <c r="E544" s="132"/>
      <c r="F544" s="132"/>
      <c r="G544" s="132"/>
      <c r="H544" s="132"/>
      <c r="I544" s="132"/>
      <c r="J544" s="132"/>
      <c r="K544" s="132"/>
    </row>
    <row r="545" spans="5:11" x14ac:dyDescent="0.25">
      <c r="E545" s="132"/>
      <c r="F545" s="132"/>
      <c r="G545" s="132"/>
      <c r="H545" s="132"/>
      <c r="I545" s="132"/>
      <c r="J545" s="132"/>
      <c r="K545" s="132"/>
    </row>
    <row r="546" spans="5:11" x14ac:dyDescent="0.25">
      <c r="E546" s="132"/>
      <c r="F546" s="132"/>
      <c r="G546" s="132"/>
      <c r="H546" s="132"/>
      <c r="I546" s="132"/>
      <c r="J546" s="132"/>
      <c r="K546" s="132"/>
    </row>
    <row r="547" spans="5:11" x14ac:dyDescent="0.25">
      <c r="E547" s="132"/>
      <c r="F547" s="132"/>
      <c r="G547" s="132"/>
      <c r="H547" s="132"/>
      <c r="I547" s="132"/>
      <c r="J547" s="132"/>
      <c r="K547" s="132"/>
    </row>
    <row r="548" spans="5:11" x14ac:dyDescent="0.25">
      <c r="E548" s="132"/>
      <c r="F548" s="132"/>
      <c r="G548" s="132"/>
      <c r="H548" s="132"/>
      <c r="I548" s="132"/>
      <c r="J548" s="132"/>
      <c r="K548" s="132"/>
    </row>
    <row r="549" spans="5:11" x14ac:dyDescent="0.25">
      <c r="E549" s="132"/>
      <c r="F549" s="132"/>
      <c r="G549" s="132"/>
      <c r="H549" s="132"/>
      <c r="I549" s="132"/>
      <c r="J549" s="132"/>
      <c r="K549" s="132"/>
    </row>
    <row r="550" spans="5:11" x14ac:dyDescent="0.25">
      <c r="E550" s="132"/>
      <c r="F550" s="132"/>
      <c r="G550" s="132"/>
      <c r="H550" s="132"/>
      <c r="I550" s="132"/>
      <c r="J550" s="132"/>
      <c r="K550" s="132"/>
    </row>
    <row r="551" spans="5:11" x14ac:dyDescent="0.25">
      <c r="E551" s="132"/>
      <c r="F551" s="132"/>
      <c r="G551" s="132"/>
      <c r="H551" s="132"/>
      <c r="I551" s="132"/>
      <c r="J551" s="132"/>
      <c r="K551" s="132"/>
    </row>
    <row r="552" spans="5:11" x14ac:dyDescent="0.25">
      <c r="E552" s="132"/>
      <c r="F552" s="132"/>
      <c r="G552" s="132"/>
      <c r="H552" s="132"/>
      <c r="I552" s="132"/>
      <c r="J552" s="132"/>
      <c r="K552" s="132"/>
    </row>
    <row r="553" spans="5:11" x14ac:dyDescent="0.25">
      <c r="E553" s="132"/>
      <c r="F553" s="132"/>
      <c r="G553" s="132"/>
      <c r="H553" s="132"/>
      <c r="I553" s="132"/>
      <c r="J553" s="132"/>
      <c r="K553" s="132"/>
    </row>
    <row r="554" spans="5:11" x14ac:dyDescent="0.25">
      <c r="E554" s="132"/>
      <c r="F554" s="132"/>
      <c r="G554" s="132"/>
      <c r="H554" s="132"/>
      <c r="I554" s="132"/>
      <c r="J554" s="132"/>
      <c r="K554" s="132"/>
    </row>
    <row r="555" spans="5:11" x14ac:dyDescent="0.25">
      <c r="E555" s="132"/>
      <c r="F555" s="132"/>
      <c r="G555" s="132"/>
      <c r="H555" s="132"/>
      <c r="I555" s="132"/>
      <c r="J555" s="132"/>
      <c r="K555" s="132"/>
    </row>
    <row r="556" spans="5:11" x14ac:dyDescent="0.25">
      <c r="E556" s="132"/>
      <c r="F556" s="132"/>
      <c r="G556" s="132"/>
      <c r="H556" s="132"/>
      <c r="I556" s="132"/>
      <c r="J556" s="132"/>
      <c r="K556" s="132"/>
    </row>
    <row r="557" spans="5:11" x14ac:dyDescent="0.25">
      <c r="E557" s="132"/>
      <c r="F557" s="132"/>
      <c r="G557" s="132"/>
      <c r="H557" s="132"/>
      <c r="I557" s="132"/>
      <c r="J557" s="132"/>
      <c r="K557" s="132"/>
    </row>
    <row r="558" spans="5:11" x14ac:dyDescent="0.25">
      <c r="E558" s="132"/>
      <c r="F558" s="132"/>
      <c r="G558" s="132"/>
      <c r="H558" s="132"/>
      <c r="I558" s="132"/>
      <c r="J558" s="132"/>
      <c r="K558" s="132"/>
    </row>
    <row r="559" spans="5:11" x14ac:dyDescent="0.25">
      <c r="E559" s="132"/>
      <c r="F559" s="132"/>
      <c r="G559" s="132"/>
      <c r="H559" s="132"/>
      <c r="I559" s="132"/>
      <c r="J559" s="132"/>
      <c r="K559" s="132"/>
    </row>
    <row r="560" spans="5:11" x14ac:dyDescent="0.25">
      <c r="E560" s="132"/>
      <c r="F560" s="132"/>
      <c r="G560" s="132"/>
      <c r="H560" s="132"/>
      <c r="I560" s="132"/>
      <c r="J560" s="132"/>
      <c r="K560" s="132"/>
    </row>
    <row r="561" spans="5:11" x14ac:dyDescent="0.25">
      <c r="E561" s="132"/>
      <c r="F561" s="132"/>
      <c r="G561" s="132"/>
      <c r="H561" s="132"/>
      <c r="I561" s="132"/>
      <c r="J561" s="132"/>
      <c r="K561" s="132"/>
    </row>
    <row r="562" spans="5:11" x14ac:dyDescent="0.25">
      <c r="E562" s="132"/>
      <c r="F562" s="132"/>
      <c r="G562" s="132"/>
      <c r="H562" s="132"/>
      <c r="I562" s="132"/>
      <c r="J562" s="132"/>
      <c r="K562" s="132"/>
    </row>
    <row r="563" spans="5:11" x14ac:dyDescent="0.25">
      <c r="E563" s="132"/>
      <c r="F563" s="132"/>
      <c r="G563" s="132"/>
      <c r="H563" s="132"/>
      <c r="I563" s="132"/>
      <c r="J563" s="132"/>
      <c r="K563" s="132"/>
    </row>
    <row r="564" spans="5:11" x14ac:dyDescent="0.25">
      <c r="E564" s="132"/>
      <c r="F564" s="132"/>
      <c r="G564" s="132"/>
      <c r="H564" s="132"/>
      <c r="I564" s="132"/>
      <c r="J564" s="132"/>
      <c r="K564" s="132"/>
    </row>
    <row r="565" spans="5:11" x14ac:dyDescent="0.25">
      <c r="E565" s="132"/>
      <c r="F565" s="132"/>
      <c r="G565" s="132"/>
      <c r="H565" s="132"/>
      <c r="I565" s="132"/>
      <c r="J565" s="132"/>
      <c r="K565" s="132"/>
    </row>
    <row r="566" spans="5:11" x14ac:dyDescent="0.25">
      <c r="E566" s="132"/>
      <c r="F566" s="132"/>
      <c r="G566" s="132"/>
      <c r="H566" s="132"/>
      <c r="I566" s="132"/>
      <c r="J566" s="132"/>
      <c r="K566" s="132"/>
    </row>
    <row r="567" spans="5:11" x14ac:dyDescent="0.25">
      <c r="E567" s="132"/>
      <c r="F567" s="132"/>
      <c r="G567" s="132"/>
      <c r="H567" s="132"/>
      <c r="I567" s="132"/>
      <c r="J567" s="132"/>
      <c r="K567" s="132"/>
    </row>
    <row r="568" spans="5:11" x14ac:dyDescent="0.25">
      <c r="E568" s="132"/>
      <c r="F568" s="132"/>
      <c r="G568" s="132"/>
      <c r="H568" s="132"/>
      <c r="I568" s="132"/>
      <c r="J568" s="132"/>
      <c r="K568" s="132"/>
    </row>
    <row r="569" spans="5:11" x14ac:dyDescent="0.25">
      <c r="E569" s="132"/>
      <c r="F569" s="132"/>
      <c r="G569" s="132"/>
      <c r="H569" s="132"/>
      <c r="I569" s="132"/>
      <c r="J569" s="132"/>
      <c r="K569" s="132"/>
    </row>
    <row r="570" spans="5:11" x14ac:dyDescent="0.25">
      <c r="E570" s="132"/>
      <c r="F570" s="132"/>
      <c r="G570" s="132"/>
      <c r="H570" s="132"/>
      <c r="I570" s="132"/>
      <c r="J570" s="132"/>
      <c r="K570" s="132"/>
    </row>
    <row r="571" spans="5:11" x14ac:dyDescent="0.25">
      <c r="E571" s="132"/>
      <c r="F571" s="132"/>
      <c r="G571" s="132"/>
      <c r="H571" s="132"/>
      <c r="I571" s="132"/>
      <c r="J571" s="132"/>
      <c r="K571" s="132"/>
    </row>
    <row r="572" spans="5:11" x14ac:dyDescent="0.25">
      <c r="E572" s="132"/>
      <c r="F572" s="132"/>
      <c r="G572" s="132"/>
      <c r="H572" s="132"/>
      <c r="I572" s="132"/>
      <c r="J572" s="132"/>
      <c r="K572" s="132"/>
    </row>
    <row r="573" spans="5:11" x14ac:dyDescent="0.25">
      <c r="E573" s="132"/>
      <c r="F573" s="132"/>
      <c r="G573" s="132"/>
      <c r="H573" s="132"/>
      <c r="I573" s="132"/>
      <c r="J573" s="132"/>
      <c r="K573" s="132"/>
    </row>
    <row r="574" spans="5:11" x14ac:dyDescent="0.25">
      <c r="E574" s="132"/>
      <c r="F574" s="132"/>
      <c r="G574" s="132"/>
      <c r="H574" s="132"/>
      <c r="I574" s="132"/>
      <c r="J574" s="132"/>
      <c r="K574" s="132"/>
    </row>
    <row r="575" spans="5:11" x14ac:dyDescent="0.25">
      <c r="E575" s="132"/>
      <c r="F575" s="132"/>
      <c r="G575" s="132"/>
      <c r="H575" s="132"/>
      <c r="I575" s="132"/>
      <c r="J575" s="132"/>
      <c r="K575" s="132"/>
    </row>
    <row r="576" spans="5:11" x14ac:dyDescent="0.25">
      <c r="E576" s="132"/>
      <c r="F576" s="132"/>
      <c r="G576" s="132"/>
      <c r="H576" s="132"/>
      <c r="I576" s="132"/>
      <c r="J576" s="132"/>
      <c r="K576" s="132"/>
    </row>
    <row r="577" spans="5:11" x14ac:dyDescent="0.25">
      <c r="E577" s="132"/>
      <c r="F577" s="132"/>
      <c r="G577" s="132"/>
      <c r="H577" s="132"/>
      <c r="I577" s="132"/>
      <c r="J577" s="132"/>
      <c r="K577" s="132"/>
    </row>
    <row r="578" spans="5:11" x14ac:dyDescent="0.25">
      <c r="E578" s="132"/>
      <c r="F578" s="132"/>
      <c r="G578" s="132"/>
      <c r="H578" s="132"/>
      <c r="I578" s="132"/>
      <c r="J578" s="132"/>
      <c r="K578" s="132"/>
    </row>
    <row r="579" spans="5:11" x14ac:dyDescent="0.25">
      <c r="E579" s="132"/>
      <c r="F579" s="132"/>
      <c r="G579" s="132"/>
      <c r="H579" s="132"/>
      <c r="I579" s="132"/>
      <c r="J579" s="132"/>
      <c r="K579" s="132"/>
    </row>
    <row r="580" spans="5:11" x14ac:dyDescent="0.25">
      <c r="E580" s="132"/>
      <c r="F580" s="132"/>
      <c r="G580" s="132"/>
      <c r="H580" s="132"/>
      <c r="I580" s="132"/>
      <c r="J580" s="132"/>
      <c r="K580" s="132"/>
    </row>
    <row r="581" spans="5:11" x14ac:dyDescent="0.25">
      <c r="E581" s="132"/>
      <c r="F581" s="132"/>
      <c r="G581" s="132"/>
      <c r="H581" s="132"/>
      <c r="I581" s="132"/>
      <c r="J581" s="132"/>
      <c r="K581" s="132"/>
    </row>
    <row r="582" spans="5:11" x14ac:dyDescent="0.25">
      <c r="E582" s="132"/>
      <c r="F582" s="132"/>
      <c r="G582" s="132"/>
      <c r="H582" s="132"/>
      <c r="I582" s="132"/>
      <c r="J582" s="132"/>
      <c r="K582" s="132"/>
    </row>
    <row r="583" spans="5:11" x14ac:dyDescent="0.25">
      <c r="E583" s="132"/>
      <c r="F583" s="132"/>
      <c r="G583" s="132"/>
      <c r="H583" s="132"/>
      <c r="I583" s="132"/>
      <c r="J583" s="132"/>
      <c r="K583" s="132"/>
    </row>
    <row r="584" spans="5:11" x14ac:dyDescent="0.25">
      <c r="E584" s="132"/>
      <c r="F584" s="132"/>
      <c r="G584" s="132"/>
      <c r="H584" s="132"/>
      <c r="I584" s="132"/>
      <c r="J584" s="132"/>
      <c r="K584" s="132"/>
    </row>
    <row r="585" spans="5:11" x14ac:dyDescent="0.25">
      <c r="E585" s="132"/>
      <c r="F585" s="132"/>
      <c r="G585" s="132"/>
      <c r="H585" s="132"/>
      <c r="I585" s="132"/>
      <c r="J585" s="132"/>
      <c r="K585" s="132"/>
    </row>
    <row r="586" spans="5:11" x14ac:dyDescent="0.25">
      <c r="E586" s="132"/>
      <c r="F586" s="132"/>
      <c r="G586" s="132"/>
      <c r="H586" s="132"/>
      <c r="I586" s="132"/>
      <c r="J586" s="132"/>
      <c r="K586" s="132"/>
    </row>
    <row r="587" spans="5:11" x14ac:dyDescent="0.25">
      <c r="E587" s="132"/>
      <c r="F587" s="132"/>
      <c r="G587" s="132"/>
      <c r="H587" s="132"/>
      <c r="I587" s="132"/>
      <c r="J587" s="132"/>
      <c r="K587" s="132"/>
    </row>
    <row r="588" spans="5:11" x14ac:dyDescent="0.25">
      <c r="E588" s="132"/>
      <c r="F588" s="132"/>
      <c r="G588" s="132"/>
      <c r="H588" s="132"/>
      <c r="I588" s="132"/>
      <c r="J588" s="132"/>
      <c r="K588" s="132"/>
    </row>
    <row r="589" spans="5:11" x14ac:dyDescent="0.25">
      <c r="E589" s="132"/>
      <c r="F589" s="132"/>
      <c r="G589" s="132"/>
      <c r="H589" s="132"/>
      <c r="I589" s="132"/>
      <c r="J589" s="132"/>
      <c r="K589" s="132"/>
    </row>
    <row r="590" spans="5:11" x14ac:dyDescent="0.25">
      <c r="E590" s="132"/>
      <c r="F590" s="132"/>
      <c r="G590" s="132"/>
      <c r="H590" s="132"/>
      <c r="I590" s="132"/>
      <c r="J590" s="132"/>
      <c r="K590" s="132"/>
    </row>
    <row r="591" spans="5:11" x14ac:dyDescent="0.25">
      <c r="E591" s="132"/>
      <c r="F591" s="132"/>
      <c r="G591" s="132"/>
      <c r="H591" s="132"/>
      <c r="I591" s="132"/>
      <c r="J591" s="132"/>
      <c r="K591" s="132"/>
    </row>
    <row r="592" spans="5:11" x14ac:dyDescent="0.25">
      <c r="E592" s="132"/>
      <c r="F592" s="132"/>
      <c r="G592" s="132"/>
      <c r="H592" s="132"/>
      <c r="I592" s="132"/>
      <c r="J592" s="132"/>
      <c r="K592" s="132"/>
    </row>
    <row r="593" spans="5:11" x14ac:dyDescent="0.25">
      <c r="E593" s="132"/>
      <c r="F593" s="132"/>
      <c r="G593" s="132"/>
      <c r="H593" s="132"/>
      <c r="I593" s="132"/>
      <c r="J593" s="132"/>
      <c r="K593" s="132"/>
    </row>
    <row r="594" spans="5:11" x14ac:dyDescent="0.25">
      <c r="E594" s="132"/>
      <c r="F594" s="132"/>
      <c r="G594" s="132"/>
      <c r="H594" s="132"/>
      <c r="I594" s="132"/>
      <c r="J594" s="132"/>
      <c r="K594" s="132"/>
    </row>
    <row r="595" spans="5:11" x14ac:dyDescent="0.25">
      <c r="E595" s="132"/>
      <c r="F595" s="132"/>
      <c r="G595" s="132"/>
      <c r="H595" s="132"/>
      <c r="I595" s="132"/>
      <c r="J595" s="132"/>
      <c r="K595" s="132"/>
    </row>
    <row r="596" spans="5:11" x14ac:dyDescent="0.25">
      <c r="E596" s="132"/>
      <c r="F596" s="132"/>
      <c r="G596" s="132"/>
      <c r="H596" s="132"/>
      <c r="I596" s="132"/>
      <c r="J596" s="132"/>
      <c r="K596" s="132"/>
    </row>
    <row r="597" spans="5:11" x14ac:dyDescent="0.25">
      <c r="E597" s="132"/>
      <c r="F597" s="132"/>
      <c r="G597" s="132"/>
      <c r="H597" s="132"/>
      <c r="I597" s="132"/>
      <c r="J597" s="132"/>
      <c r="K597" s="132"/>
    </row>
    <row r="598" spans="5:11" x14ac:dyDescent="0.25">
      <c r="E598" s="132"/>
      <c r="F598" s="132"/>
      <c r="G598" s="132"/>
      <c r="H598" s="132"/>
      <c r="I598" s="132"/>
      <c r="J598" s="132"/>
      <c r="K598" s="132"/>
    </row>
    <row r="599" spans="5:11" x14ac:dyDescent="0.25">
      <c r="E599" s="132"/>
      <c r="F599" s="132"/>
      <c r="G599" s="132"/>
      <c r="H599" s="132"/>
      <c r="I599" s="132"/>
      <c r="J599" s="132"/>
      <c r="K599" s="132"/>
    </row>
    <row r="600" spans="5:11" x14ac:dyDescent="0.25">
      <c r="E600" s="132"/>
      <c r="F600" s="132"/>
      <c r="G600" s="132"/>
      <c r="H600" s="132"/>
      <c r="I600" s="132"/>
      <c r="J600" s="132"/>
      <c r="K600" s="132"/>
    </row>
    <row r="601" spans="5:11" x14ac:dyDescent="0.25">
      <c r="E601" s="132"/>
      <c r="F601" s="132"/>
      <c r="G601" s="132"/>
      <c r="H601" s="132"/>
      <c r="I601" s="132"/>
      <c r="J601" s="132"/>
      <c r="K601" s="132"/>
    </row>
    <row r="602" spans="5:11" x14ac:dyDescent="0.25">
      <c r="E602" s="132"/>
      <c r="F602" s="132"/>
      <c r="G602" s="132"/>
      <c r="H602" s="132"/>
      <c r="I602" s="132"/>
      <c r="J602" s="132"/>
      <c r="K602" s="132"/>
    </row>
    <row r="603" spans="5:11" x14ac:dyDescent="0.25">
      <c r="E603" s="132"/>
      <c r="F603" s="132"/>
      <c r="G603" s="132"/>
      <c r="H603" s="132"/>
      <c r="I603" s="132"/>
      <c r="J603" s="132"/>
      <c r="K603" s="132"/>
    </row>
    <row r="604" spans="5:11" x14ac:dyDescent="0.25">
      <c r="E604" s="132"/>
      <c r="F604" s="132"/>
      <c r="G604" s="132"/>
      <c r="H604" s="132"/>
      <c r="I604" s="132"/>
      <c r="J604" s="132"/>
      <c r="K604" s="132"/>
    </row>
    <row r="605" spans="5:11" x14ac:dyDescent="0.25">
      <c r="E605" s="132"/>
      <c r="F605" s="132"/>
      <c r="G605" s="132"/>
      <c r="H605" s="132"/>
      <c r="I605" s="132"/>
      <c r="J605" s="132"/>
      <c r="K605" s="132"/>
    </row>
    <row r="606" spans="5:11" x14ac:dyDescent="0.25">
      <c r="E606" s="132"/>
      <c r="F606" s="132"/>
      <c r="G606" s="132"/>
      <c r="H606" s="132"/>
      <c r="I606" s="132"/>
      <c r="J606" s="132"/>
      <c r="K606" s="132"/>
    </row>
    <row r="607" spans="5:11" x14ac:dyDescent="0.25">
      <c r="E607" s="132"/>
      <c r="F607" s="132"/>
      <c r="G607" s="132"/>
      <c r="H607" s="132"/>
      <c r="I607" s="132"/>
      <c r="J607" s="132"/>
      <c r="K607" s="132"/>
    </row>
    <row r="608" spans="5:11" x14ac:dyDescent="0.25">
      <c r="E608" s="132"/>
      <c r="F608" s="132"/>
      <c r="G608" s="132"/>
      <c r="H608" s="132"/>
      <c r="I608" s="132"/>
      <c r="J608" s="132"/>
      <c r="K608" s="132"/>
    </row>
    <row r="609" spans="5:11" x14ac:dyDescent="0.25">
      <c r="E609" s="132"/>
      <c r="F609" s="132"/>
      <c r="G609" s="132"/>
      <c r="H609" s="132"/>
      <c r="I609" s="132"/>
      <c r="J609" s="132"/>
      <c r="K609" s="132"/>
    </row>
    <row r="610" spans="5:11" x14ac:dyDescent="0.25">
      <c r="E610" s="132"/>
      <c r="F610" s="132"/>
      <c r="G610" s="132"/>
      <c r="H610" s="132"/>
      <c r="I610" s="132"/>
      <c r="J610" s="132"/>
      <c r="K610" s="132"/>
    </row>
    <row r="611" spans="5:11" x14ac:dyDescent="0.25">
      <c r="E611" s="132"/>
      <c r="F611" s="132"/>
      <c r="G611" s="132"/>
      <c r="H611" s="132"/>
      <c r="I611" s="132"/>
      <c r="J611" s="132"/>
      <c r="K611" s="132"/>
    </row>
    <row r="612" spans="5:11" x14ac:dyDescent="0.25">
      <c r="E612" s="132"/>
      <c r="F612" s="132"/>
      <c r="G612" s="132"/>
      <c r="H612" s="132"/>
      <c r="I612" s="132"/>
      <c r="J612" s="132"/>
      <c r="K612" s="132"/>
    </row>
    <row r="613" spans="5:11" x14ac:dyDescent="0.25">
      <c r="E613" s="132"/>
      <c r="F613" s="132"/>
      <c r="G613" s="132"/>
      <c r="H613" s="132"/>
      <c r="I613" s="132"/>
      <c r="J613" s="132"/>
      <c r="K613" s="132"/>
    </row>
    <row r="614" spans="5:11" x14ac:dyDescent="0.25">
      <c r="E614" s="132"/>
      <c r="F614" s="132"/>
      <c r="G614" s="132"/>
      <c r="H614" s="132"/>
      <c r="I614" s="132"/>
      <c r="J614" s="132"/>
      <c r="K614" s="132"/>
    </row>
    <row r="615" spans="5:11" x14ac:dyDescent="0.25">
      <c r="E615" s="132"/>
      <c r="F615" s="132"/>
      <c r="G615" s="132"/>
      <c r="H615" s="132"/>
      <c r="I615" s="132"/>
      <c r="J615" s="132"/>
      <c r="K615" s="132"/>
    </row>
    <row r="616" spans="5:11" x14ac:dyDescent="0.25">
      <c r="E616" s="132"/>
      <c r="F616" s="132"/>
      <c r="G616" s="132"/>
      <c r="H616" s="132"/>
      <c r="I616" s="132"/>
      <c r="J616" s="132"/>
      <c r="K616" s="132"/>
    </row>
    <row r="617" spans="5:11" x14ac:dyDescent="0.25">
      <c r="E617" s="132"/>
      <c r="F617" s="132"/>
      <c r="G617" s="132"/>
      <c r="H617" s="132"/>
      <c r="I617" s="132"/>
      <c r="J617" s="132"/>
      <c r="K617" s="132"/>
    </row>
    <row r="618" spans="5:11" x14ac:dyDescent="0.25">
      <c r="E618" s="132"/>
      <c r="F618" s="132"/>
      <c r="G618" s="132"/>
      <c r="H618" s="132"/>
      <c r="I618" s="132"/>
      <c r="J618" s="132"/>
      <c r="K618" s="132"/>
    </row>
    <row r="619" spans="5:11" x14ac:dyDescent="0.25">
      <c r="E619" s="132"/>
      <c r="F619" s="132"/>
      <c r="G619" s="132"/>
      <c r="H619" s="132"/>
      <c r="I619" s="132"/>
      <c r="J619" s="132"/>
      <c r="K619" s="132"/>
    </row>
    <row r="620" spans="5:11" x14ac:dyDescent="0.25">
      <c r="E620" s="132"/>
      <c r="F620" s="132"/>
      <c r="G620" s="132"/>
      <c r="H620" s="132"/>
      <c r="I620" s="132"/>
      <c r="J620" s="132"/>
      <c r="K620" s="132"/>
    </row>
    <row r="621" spans="5:11" x14ac:dyDescent="0.25">
      <c r="E621" s="132"/>
      <c r="F621" s="132"/>
      <c r="G621" s="132"/>
      <c r="H621" s="132"/>
      <c r="I621" s="132"/>
      <c r="J621" s="132"/>
      <c r="K621" s="132"/>
    </row>
    <row r="622" spans="5:11" x14ac:dyDescent="0.25">
      <c r="E622" s="132"/>
      <c r="F622" s="132"/>
      <c r="G622" s="132"/>
      <c r="H622" s="132"/>
      <c r="I622" s="132"/>
      <c r="J622" s="132"/>
      <c r="K622" s="132"/>
    </row>
    <row r="623" spans="5:11" x14ac:dyDescent="0.25">
      <c r="E623" s="132"/>
      <c r="F623" s="132"/>
      <c r="G623" s="132"/>
      <c r="H623" s="132"/>
      <c r="I623" s="132"/>
      <c r="J623" s="132"/>
      <c r="K623" s="132"/>
    </row>
    <row r="624" spans="5:11" x14ac:dyDescent="0.25">
      <c r="E624" s="132"/>
      <c r="F624" s="132"/>
      <c r="G624" s="132"/>
      <c r="H624" s="132"/>
      <c r="I624" s="132"/>
      <c r="J624" s="132"/>
      <c r="K624" s="132"/>
    </row>
    <row r="625" spans="5:11" x14ac:dyDescent="0.25">
      <c r="E625" s="132"/>
      <c r="F625" s="132"/>
      <c r="G625" s="132"/>
      <c r="H625" s="132"/>
      <c r="I625" s="132"/>
      <c r="J625" s="132"/>
      <c r="K625" s="132"/>
    </row>
    <row r="626" spans="5:11" x14ac:dyDescent="0.25">
      <c r="E626" s="132"/>
      <c r="F626" s="132"/>
      <c r="G626" s="132"/>
      <c r="H626" s="132"/>
      <c r="I626" s="132"/>
      <c r="J626" s="132"/>
      <c r="K626" s="132"/>
    </row>
    <row r="627" spans="5:11" x14ac:dyDescent="0.25">
      <c r="E627" s="132"/>
      <c r="F627" s="132"/>
      <c r="G627" s="132"/>
      <c r="H627" s="132"/>
      <c r="I627" s="132"/>
      <c r="J627" s="132"/>
      <c r="K627" s="132"/>
    </row>
    <row r="628" spans="5:11" x14ac:dyDescent="0.25">
      <c r="E628" s="132"/>
      <c r="F628" s="132"/>
      <c r="G628" s="132"/>
      <c r="H628" s="132"/>
      <c r="I628" s="132"/>
      <c r="J628" s="132"/>
      <c r="K628" s="132"/>
    </row>
    <row r="629" spans="5:11" x14ac:dyDescent="0.25">
      <c r="E629" s="132"/>
      <c r="F629" s="132"/>
      <c r="G629" s="132"/>
      <c r="H629" s="132"/>
      <c r="I629" s="132"/>
      <c r="J629" s="132"/>
      <c r="K629" s="132"/>
    </row>
    <row r="630" spans="5:11" x14ac:dyDescent="0.25">
      <c r="E630" s="132"/>
      <c r="F630" s="132"/>
      <c r="G630" s="132"/>
      <c r="H630" s="132"/>
      <c r="I630" s="132"/>
      <c r="J630" s="132"/>
      <c r="K630" s="132"/>
    </row>
    <row r="631" spans="5:11" x14ac:dyDescent="0.25">
      <c r="E631" s="132"/>
      <c r="F631" s="132"/>
      <c r="G631" s="132"/>
      <c r="H631" s="132"/>
      <c r="I631" s="132"/>
      <c r="J631" s="132"/>
      <c r="K631" s="132"/>
    </row>
    <row r="632" spans="5:11" x14ac:dyDescent="0.25">
      <c r="E632" s="132"/>
      <c r="F632" s="132"/>
      <c r="G632" s="132"/>
      <c r="H632" s="132"/>
      <c r="I632" s="132"/>
      <c r="J632" s="132"/>
      <c r="K632" s="132"/>
    </row>
    <row r="633" spans="5:11" x14ac:dyDescent="0.25">
      <c r="E633" s="132"/>
      <c r="F633" s="132"/>
      <c r="G633" s="132"/>
      <c r="H633" s="132"/>
      <c r="I633" s="132"/>
      <c r="J633" s="132"/>
      <c r="K633" s="132"/>
    </row>
    <row r="634" spans="5:11" x14ac:dyDescent="0.25">
      <c r="E634" s="132"/>
      <c r="F634" s="132"/>
      <c r="G634" s="132"/>
      <c r="H634" s="132"/>
      <c r="I634" s="132"/>
      <c r="J634" s="132"/>
      <c r="K634" s="132"/>
    </row>
    <row r="635" spans="5:11" x14ac:dyDescent="0.25">
      <c r="E635" s="132"/>
      <c r="F635" s="132"/>
      <c r="G635" s="132"/>
      <c r="H635" s="132"/>
      <c r="I635" s="132"/>
      <c r="J635" s="132"/>
      <c r="K635" s="132"/>
    </row>
    <row r="636" spans="5:11" x14ac:dyDescent="0.25">
      <c r="E636" s="132"/>
      <c r="F636" s="132"/>
      <c r="G636" s="132"/>
      <c r="H636" s="132"/>
      <c r="I636" s="132"/>
      <c r="J636" s="132"/>
      <c r="K636" s="132"/>
    </row>
    <row r="637" spans="5:11" x14ac:dyDescent="0.25">
      <c r="E637" s="132"/>
      <c r="F637" s="132"/>
      <c r="G637" s="132"/>
      <c r="H637" s="132"/>
      <c r="I637" s="132"/>
      <c r="J637" s="132"/>
      <c r="K637" s="132"/>
    </row>
    <row r="638" spans="5:11" x14ac:dyDescent="0.25">
      <c r="E638" s="132"/>
      <c r="F638" s="132"/>
      <c r="G638" s="132"/>
      <c r="H638" s="132"/>
      <c r="I638" s="132"/>
      <c r="J638" s="132"/>
      <c r="K638" s="132"/>
    </row>
    <row r="639" spans="5:11" x14ac:dyDescent="0.25">
      <c r="E639" s="132"/>
      <c r="F639" s="132"/>
      <c r="G639" s="132"/>
      <c r="H639" s="132"/>
      <c r="I639" s="132"/>
      <c r="J639" s="132"/>
      <c r="K639" s="132"/>
    </row>
    <row r="640" spans="5:11" x14ac:dyDescent="0.25">
      <c r="E640" s="132"/>
      <c r="F640" s="132"/>
      <c r="G640" s="132"/>
      <c r="H640" s="132"/>
      <c r="I640" s="132"/>
      <c r="J640" s="132"/>
      <c r="K640" s="132"/>
    </row>
    <row r="641" spans="5:11" x14ac:dyDescent="0.25">
      <c r="E641" s="132"/>
      <c r="F641" s="132"/>
      <c r="G641" s="132"/>
      <c r="H641" s="132"/>
      <c r="I641" s="132"/>
      <c r="J641" s="132"/>
      <c r="K641" s="132"/>
    </row>
    <row r="642" spans="5:11" x14ac:dyDescent="0.25">
      <c r="E642" s="132"/>
      <c r="F642" s="132"/>
      <c r="G642" s="132"/>
      <c r="H642" s="132"/>
      <c r="I642" s="132"/>
      <c r="J642" s="132"/>
      <c r="K642" s="132"/>
    </row>
    <row r="643" spans="5:11" x14ac:dyDescent="0.25">
      <c r="E643" s="132"/>
      <c r="F643" s="132"/>
      <c r="G643" s="132"/>
      <c r="H643" s="132"/>
      <c r="I643" s="132"/>
      <c r="J643" s="132"/>
      <c r="K643" s="132"/>
    </row>
    <row r="644" spans="5:11" x14ac:dyDescent="0.25">
      <c r="E644" s="132"/>
      <c r="F644" s="132"/>
      <c r="G644" s="132"/>
      <c r="H644" s="132"/>
      <c r="I644" s="132"/>
      <c r="J644" s="132"/>
      <c r="K644" s="132"/>
    </row>
    <row r="645" spans="5:11" x14ac:dyDescent="0.25">
      <c r="E645" s="132"/>
      <c r="F645" s="132"/>
      <c r="G645" s="132"/>
      <c r="H645" s="132"/>
      <c r="I645" s="132"/>
      <c r="J645" s="132"/>
      <c r="K645" s="132"/>
    </row>
    <row r="646" spans="5:11" x14ac:dyDescent="0.25">
      <c r="E646" s="132"/>
      <c r="F646" s="132"/>
      <c r="G646" s="132"/>
      <c r="H646" s="132"/>
      <c r="I646" s="132"/>
      <c r="J646" s="132"/>
      <c r="K646" s="132"/>
    </row>
    <row r="647" spans="5:11" x14ac:dyDescent="0.25">
      <c r="E647" s="132"/>
      <c r="F647" s="132"/>
      <c r="G647" s="132"/>
      <c r="H647" s="132"/>
      <c r="I647" s="132"/>
      <c r="J647" s="132"/>
      <c r="K647" s="132"/>
    </row>
    <row r="648" spans="5:11" x14ac:dyDescent="0.25">
      <c r="E648" s="132"/>
      <c r="F648" s="132"/>
      <c r="G648" s="132"/>
      <c r="H648" s="132"/>
      <c r="I648" s="132"/>
      <c r="J648" s="132"/>
      <c r="K648" s="132"/>
    </row>
    <row r="649" spans="5:11" x14ac:dyDescent="0.25">
      <c r="E649" s="132"/>
      <c r="F649" s="132"/>
      <c r="G649" s="132"/>
      <c r="H649" s="132"/>
      <c r="I649" s="132"/>
      <c r="J649" s="132"/>
      <c r="K649" s="132"/>
    </row>
    <row r="650" spans="5:11" x14ac:dyDescent="0.25">
      <c r="E650" s="132"/>
      <c r="F650" s="132"/>
      <c r="G650" s="132"/>
      <c r="H650" s="132"/>
      <c r="I650" s="132"/>
      <c r="J650" s="132"/>
      <c r="K650" s="132"/>
    </row>
    <row r="651" spans="5:11" x14ac:dyDescent="0.25">
      <c r="E651" s="132"/>
      <c r="F651" s="132"/>
      <c r="G651" s="132"/>
      <c r="H651" s="132"/>
      <c r="I651" s="132"/>
      <c r="J651" s="132"/>
      <c r="K651" s="132"/>
    </row>
    <row r="652" spans="5:11" x14ac:dyDescent="0.25">
      <c r="E652" s="132"/>
      <c r="F652" s="132"/>
      <c r="G652" s="132"/>
      <c r="H652" s="132"/>
      <c r="I652" s="132"/>
      <c r="J652" s="132"/>
      <c r="K652" s="132"/>
    </row>
    <row r="653" spans="5:11" x14ac:dyDescent="0.25">
      <c r="E653" s="132"/>
      <c r="F653" s="132"/>
      <c r="G653" s="132"/>
      <c r="H653" s="132"/>
      <c r="I653" s="132"/>
      <c r="J653" s="132"/>
      <c r="K653" s="132"/>
    </row>
    <row r="654" spans="5:11" x14ac:dyDescent="0.25">
      <c r="E654" s="132"/>
      <c r="F654" s="132"/>
      <c r="G654" s="132"/>
      <c r="H654" s="132"/>
      <c r="I654" s="132"/>
      <c r="J654" s="132"/>
      <c r="K654" s="132"/>
    </row>
    <row r="655" spans="5:11" x14ac:dyDescent="0.25">
      <c r="E655" s="132"/>
      <c r="F655" s="132"/>
      <c r="G655" s="132"/>
      <c r="H655" s="132"/>
      <c r="I655" s="132"/>
      <c r="J655" s="132"/>
      <c r="K655" s="132"/>
    </row>
    <row r="656" spans="5:11" x14ac:dyDescent="0.25">
      <c r="E656" s="132"/>
      <c r="F656" s="132"/>
      <c r="G656" s="132"/>
      <c r="H656" s="132"/>
      <c r="I656" s="132"/>
      <c r="J656" s="132"/>
      <c r="K656" s="132"/>
    </row>
    <row r="657" spans="5:11" x14ac:dyDescent="0.25">
      <c r="E657" s="132"/>
      <c r="F657" s="132"/>
      <c r="G657" s="132"/>
      <c r="H657" s="132"/>
      <c r="I657" s="132"/>
      <c r="J657" s="132"/>
      <c r="K657" s="132"/>
    </row>
    <row r="658" spans="5:11" x14ac:dyDescent="0.25">
      <c r="E658" s="132"/>
      <c r="F658" s="132"/>
      <c r="G658" s="132"/>
      <c r="H658" s="132"/>
      <c r="I658" s="132"/>
      <c r="J658" s="132"/>
      <c r="K658" s="132"/>
    </row>
    <row r="659" spans="5:11" x14ac:dyDescent="0.25">
      <c r="E659" s="132"/>
      <c r="F659" s="132"/>
      <c r="G659" s="132"/>
      <c r="H659" s="132"/>
      <c r="I659" s="132"/>
      <c r="J659" s="132"/>
      <c r="K659" s="132"/>
    </row>
    <row r="660" spans="5:11" x14ac:dyDescent="0.25">
      <c r="E660" s="132"/>
      <c r="F660" s="132"/>
      <c r="G660" s="132"/>
      <c r="H660" s="132"/>
      <c r="I660" s="132"/>
      <c r="J660" s="132"/>
      <c r="K660" s="132"/>
    </row>
    <row r="661" spans="5:11" x14ac:dyDescent="0.25">
      <c r="E661" s="132"/>
      <c r="F661" s="132"/>
      <c r="G661" s="132"/>
      <c r="H661" s="132"/>
      <c r="I661" s="132"/>
      <c r="J661" s="132"/>
      <c r="K661" s="132"/>
    </row>
    <row r="662" spans="5:11" x14ac:dyDescent="0.25">
      <c r="E662" s="132"/>
      <c r="F662" s="132"/>
      <c r="G662" s="132"/>
      <c r="H662" s="132"/>
      <c r="I662" s="132"/>
      <c r="J662" s="132"/>
      <c r="K662" s="132"/>
    </row>
    <row r="663" spans="5:11" x14ac:dyDescent="0.25">
      <c r="E663" s="132"/>
      <c r="F663" s="132"/>
      <c r="G663" s="132"/>
      <c r="H663" s="132"/>
      <c r="I663" s="132"/>
      <c r="J663" s="132"/>
      <c r="K663" s="132"/>
    </row>
    <row r="664" spans="5:11" x14ac:dyDescent="0.25">
      <c r="E664" s="132"/>
      <c r="F664" s="132"/>
      <c r="G664" s="132"/>
      <c r="H664" s="132"/>
      <c r="I664" s="132"/>
      <c r="J664" s="132"/>
      <c r="K664" s="132"/>
    </row>
    <row r="665" spans="5:11" x14ac:dyDescent="0.25">
      <c r="E665" s="132"/>
      <c r="F665" s="132"/>
      <c r="G665" s="132"/>
      <c r="H665" s="132"/>
      <c r="I665" s="132"/>
      <c r="J665" s="132"/>
      <c r="K665" s="132"/>
    </row>
    <row r="666" spans="5:11" x14ac:dyDescent="0.25">
      <c r="E666" s="132"/>
      <c r="F666" s="132"/>
      <c r="G666" s="132"/>
      <c r="H666" s="132"/>
      <c r="I666" s="132"/>
      <c r="J666" s="132"/>
      <c r="K666" s="132"/>
    </row>
    <row r="667" spans="5:11" x14ac:dyDescent="0.25">
      <c r="E667" s="132"/>
      <c r="F667" s="132"/>
      <c r="G667" s="132"/>
      <c r="H667" s="132"/>
      <c r="I667" s="132"/>
      <c r="J667" s="132"/>
      <c r="K667" s="132"/>
    </row>
    <row r="668" spans="5:11" x14ac:dyDescent="0.25">
      <c r="E668" s="132"/>
      <c r="F668" s="132"/>
      <c r="G668" s="132"/>
      <c r="H668" s="132"/>
      <c r="I668" s="132"/>
      <c r="J668" s="132"/>
      <c r="K668" s="132"/>
    </row>
    <row r="669" spans="5:11" x14ac:dyDescent="0.25">
      <c r="E669" s="132"/>
      <c r="F669" s="132"/>
      <c r="G669" s="132"/>
      <c r="H669" s="132"/>
      <c r="I669" s="132"/>
      <c r="J669" s="132"/>
      <c r="K669" s="132"/>
    </row>
    <row r="670" spans="5:11" x14ac:dyDescent="0.25">
      <c r="E670" s="132"/>
      <c r="F670" s="132"/>
      <c r="G670" s="132"/>
      <c r="H670" s="132"/>
      <c r="I670" s="132"/>
      <c r="J670" s="132"/>
      <c r="K670" s="132"/>
    </row>
    <row r="671" spans="5:11" x14ac:dyDescent="0.25">
      <c r="E671" s="132"/>
      <c r="F671" s="132"/>
      <c r="G671" s="132"/>
      <c r="H671" s="132"/>
      <c r="I671" s="132"/>
      <c r="J671" s="132"/>
      <c r="K671" s="132"/>
    </row>
    <row r="672" spans="5:11" x14ac:dyDescent="0.25">
      <c r="E672" s="132"/>
      <c r="F672" s="132"/>
      <c r="G672" s="132"/>
      <c r="H672" s="132"/>
      <c r="I672" s="132"/>
      <c r="J672" s="132"/>
      <c r="K672" s="132"/>
    </row>
    <row r="673" spans="5:11" x14ac:dyDescent="0.25">
      <c r="E673" s="132"/>
      <c r="F673" s="132"/>
      <c r="G673" s="132"/>
      <c r="H673" s="132"/>
      <c r="I673" s="132"/>
      <c r="J673" s="132"/>
      <c r="K673" s="132"/>
    </row>
    <row r="674" spans="5:11" x14ac:dyDescent="0.25">
      <c r="E674" s="132"/>
      <c r="F674" s="132"/>
      <c r="G674" s="132"/>
      <c r="H674" s="132"/>
      <c r="I674" s="132"/>
      <c r="J674" s="132"/>
      <c r="K674" s="132"/>
    </row>
    <row r="675" spans="5:11" x14ac:dyDescent="0.25">
      <c r="E675" s="132"/>
      <c r="F675" s="132"/>
      <c r="G675" s="132"/>
      <c r="H675" s="132"/>
      <c r="I675" s="132"/>
      <c r="J675" s="132"/>
      <c r="K675" s="132"/>
    </row>
    <row r="676" spans="5:11" x14ac:dyDescent="0.25">
      <c r="E676" s="132"/>
      <c r="F676" s="132"/>
      <c r="G676" s="132"/>
      <c r="H676" s="132"/>
      <c r="I676" s="132"/>
      <c r="J676" s="132"/>
      <c r="K676" s="132"/>
    </row>
    <row r="677" spans="5:11" x14ac:dyDescent="0.25">
      <c r="E677" s="132"/>
      <c r="F677" s="132"/>
      <c r="G677" s="132"/>
      <c r="H677" s="132"/>
      <c r="I677" s="132"/>
      <c r="J677" s="132"/>
      <c r="K677" s="132"/>
    </row>
    <row r="678" spans="5:11" x14ac:dyDescent="0.25">
      <c r="E678" s="132"/>
      <c r="F678" s="132"/>
      <c r="G678" s="132"/>
      <c r="H678" s="132"/>
      <c r="I678" s="132"/>
      <c r="J678" s="132"/>
      <c r="K678" s="132"/>
    </row>
    <row r="679" spans="5:11" x14ac:dyDescent="0.25">
      <c r="E679" s="132"/>
      <c r="F679" s="132"/>
      <c r="G679" s="132"/>
      <c r="H679" s="132"/>
      <c r="I679" s="132"/>
      <c r="J679" s="132"/>
      <c r="K679" s="132"/>
    </row>
    <row r="680" spans="5:11" x14ac:dyDescent="0.25">
      <c r="E680" s="132"/>
      <c r="F680" s="132"/>
      <c r="G680" s="132"/>
      <c r="H680" s="132"/>
      <c r="I680" s="132"/>
      <c r="J680" s="132"/>
      <c r="K680" s="132"/>
    </row>
    <row r="681" spans="5:11" x14ac:dyDescent="0.25">
      <c r="E681" s="132"/>
      <c r="F681" s="132"/>
      <c r="G681" s="132"/>
      <c r="H681" s="132"/>
      <c r="I681" s="132"/>
      <c r="J681" s="132"/>
      <c r="K681" s="132"/>
    </row>
    <row r="682" spans="5:11" x14ac:dyDescent="0.25">
      <c r="E682" s="132"/>
      <c r="F682" s="132"/>
      <c r="G682" s="132"/>
      <c r="H682" s="132"/>
      <c r="I682" s="132"/>
      <c r="J682" s="132"/>
      <c r="K682" s="132"/>
    </row>
    <row r="683" spans="5:11" x14ac:dyDescent="0.25">
      <c r="E683" s="132"/>
      <c r="F683" s="132"/>
      <c r="G683" s="132"/>
      <c r="H683" s="132"/>
      <c r="I683" s="132"/>
      <c r="J683" s="132"/>
      <c r="K683" s="132"/>
    </row>
    <row r="684" spans="5:11" x14ac:dyDescent="0.25">
      <c r="E684" s="132"/>
      <c r="F684" s="132"/>
      <c r="G684" s="132"/>
      <c r="H684" s="132"/>
      <c r="I684" s="132"/>
      <c r="J684" s="132"/>
      <c r="K684" s="132"/>
    </row>
    <row r="685" spans="5:11" x14ac:dyDescent="0.25">
      <c r="E685" s="132"/>
      <c r="F685" s="132"/>
      <c r="G685" s="132"/>
      <c r="H685" s="132"/>
      <c r="I685" s="132"/>
      <c r="J685" s="132"/>
      <c r="K685" s="132"/>
    </row>
    <row r="686" spans="5:11" x14ac:dyDescent="0.25">
      <c r="E686" s="132"/>
      <c r="F686" s="132"/>
      <c r="G686" s="132"/>
      <c r="H686" s="132"/>
      <c r="I686" s="132"/>
      <c r="J686" s="132"/>
      <c r="K686" s="132"/>
    </row>
    <row r="687" spans="5:11" x14ac:dyDescent="0.25">
      <c r="E687" s="132"/>
      <c r="F687" s="132"/>
      <c r="G687" s="132"/>
      <c r="H687" s="132"/>
      <c r="I687" s="132"/>
      <c r="J687" s="132"/>
      <c r="K687" s="132"/>
    </row>
    <row r="688" spans="5:11" x14ac:dyDescent="0.25">
      <c r="E688" s="132"/>
      <c r="F688" s="132"/>
      <c r="G688" s="132"/>
      <c r="H688" s="132"/>
      <c r="I688" s="132"/>
      <c r="J688" s="132"/>
      <c r="K688" s="132"/>
    </row>
    <row r="689" spans="5:11" x14ac:dyDescent="0.25">
      <c r="E689" s="132"/>
      <c r="F689" s="132"/>
      <c r="G689" s="132"/>
      <c r="H689" s="132"/>
      <c r="I689" s="132"/>
      <c r="J689" s="132"/>
      <c r="K689" s="132"/>
    </row>
    <row r="690" spans="5:11" x14ac:dyDescent="0.25">
      <c r="E690" s="132"/>
      <c r="F690" s="132"/>
      <c r="G690" s="132"/>
      <c r="H690" s="132"/>
      <c r="I690" s="132"/>
      <c r="J690" s="132"/>
      <c r="K690" s="132"/>
    </row>
    <row r="691" spans="5:11" x14ac:dyDescent="0.25">
      <c r="E691" s="132"/>
      <c r="F691" s="132"/>
      <c r="G691" s="132"/>
      <c r="H691" s="132"/>
      <c r="I691" s="132"/>
      <c r="J691" s="132"/>
      <c r="K691" s="132"/>
    </row>
    <row r="692" spans="5:11" x14ac:dyDescent="0.25">
      <c r="E692" s="132"/>
      <c r="F692" s="132"/>
      <c r="G692" s="132"/>
      <c r="H692" s="132"/>
      <c r="I692" s="132"/>
      <c r="J692" s="132"/>
      <c r="K692" s="132"/>
    </row>
    <row r="693" spans="5:11" x14ac:dyDescent="0.25">
      <c r="E693" s="132"/>
      <c r="F693" s="132"/>
      <c r="G693" s="132"/>
      <c r="H693" s="132"/>
      <c r="I693" s="132"/>
      <c r="J693" s="132"/>
      <c r="K693" s="132"/>
    </row>
    <row r="694" spans="5:11" x14ac:dyDescent="0.25">
      <c r="E694" s="132"/>
      <c r="F694" s="132"/>
      <c r="G694" s="132"/>
      <c r="H694" s="132"/>
      <c r="I694" s="132"/>
      <c r="J694" s="132"/>
      <c r="K694" s="132"/>
    </row>
    <row r="695" spans="5:11" x14ac:dyDescent="0.25">
      <c r="E695" s="132"/>
      <c r="F695" s="132"/>
      <c r="G695" s="132"/>
      <c r="H695" s="132"/>
      <c r="I695" s="132"/>
      <c r="J695" s="132"/>
      <c r="K695" s="132"/>
    </row>
    <row r="696" spans="5:11" x14ac:dyDescent="0.25">
      <c r="E696" s="132"/>
      <c r="F696" s="132"/>
      <c r="G696" s="132"/>
      <c r="H696" s="132"/>
      <c r="I696" s="132"/>
      <c r="J696" s="132"/>
      <c r="K696" s="132"/>
    </row>
    <row r="697" spans="5:11" x14ac:dyDescent="0.25">
      <c r="E697" s="132"/>
      <c r="F697" s="132"/>
      <c r="G697" s="132"/>
      <c r="H697" s="132"/>
      <c r="I697" s="132"/>
      <c r="J697" s="132"/>
      <c r="K697" s="132"/>
    </row>
    <row r="698" spans="5:11" x14ac:dyDescent="0.25">
      <c r="E698" s="132"/>
      <c r="F698" s="132"/>
      <c r="G698" s="132"/>
      <c r="H698" s="132"/>
      <c r="I698" s="132"/>
      <c r="J698" s="132"/>
      <c r="K698" s="132"/>
    </row>
    <row r="699" spans="5:11" x14ac:dyDescent="0.25">
      <c r="E699" s="132"/>
      <c r="F699" s="132"/>
      <c r="G699" s="132"/>
      <c r="H699" s="132"/>
      <c r="I699" s="132"/>
      <c r="J699" s="132"/>
      <c r="K699" s="132"/>
    </row>
    <row r="700" spans="5:11" x14ac:dyDescent="0.25">
      <c r="E700" s="132"/>
      <c r="F700" s="132"/>
      <c r="G700" s="132"/>
      <c r="H700" s="132"/>
      <c r="I700" s="132"/>
      <c r="J700" s="132"/>
      <c r="K700" s="132"/>
    </row>
    <row r="701" spans="5:11" x14ac:dyDescent="0.25">
      <c r="E701" s="132"/>
      <c r="F701" s="132"/>
      <c r="G701" s="132"/>
      <c r="H701" s="132"/>
      <c r="I701" s="132"/>
      <c r="J701" s="132"/>
      <c r="K701" s="132"/>
    </row>
    <row r="702" spans="5:11" x14ac:dyDescent="0.25">
      <c r="E702" s="132"/>
      <c r="F702" s="132"/>
      <c r="G702" s="132"/>
      <c r="H702" s="132"/>
      <c r="I702" s="132"/>
      <c r="J702" s="132"/>
      <c r="K702" s="132"/>
    </row>
    <row r="703" spans="5:11" x14ac:dyDescent="0.25">
      <c r="E703" s="132"/>
      <c r="F703" s="132"/>
      <c r="G703" s="132"/>
      <c r="H703" s="132"/>
      <c r="I703" s="132"/>
      <c r="J703" s="132"/>
      <c r="K703" s="132"/>
    </row>
    <row r="704" spans="5:11" x14ac:dyDescent="0.25">
      <c r="E704" s="132"/>
      <c r="F704" s="132"/>
      <c r="G704" s="132"/>
      <c r="H704" s="132"/>
      <c r="I704" s="132"/>
      <c r="J704" s="132"/>
      <c r="K704" s="132"/>
    </row>
    <row r="705" spans="5:11" x14ac:dyDescent="0.25">
      <c r="E705" s="132"/>
      <c r="F705" s="132"/>
      <c r="G705" s="132"/>
      <c r="H705" s="132"/>
      <c r="I705" s="132"/>
      <c r="J705" s="132"/>
      <c r="K705" s="132"/>
    </row>
    <row r="706" spans="5:11" x14ac:dyDescent="0.25">
      <c r="E706" s="132"/>
      <c r="F706" s="132"/>
      <c r="G706" s="132"/>
      <c r="H706" s="132"/>
      <c r="I706" s="132"/>
      <c r="J706" s="132"/>
      <c r="K706" s="132"/>
    </row>
    <row r="707" spans="5:11" x14ac:dyDescent="0.25">
      <c r="E707" s="132"/>
      <c r="F707" s="132"/>
      <c r="G707" s="132"/>
      <c r="H707" s="132"/>
      <c r="I707" s="132"/>
      <c r="J707" s="132"/>
      <c r="K707" s="132"/>
    </row>
    <row r="708" spans="5:11" x14ac:dyDescent="0.25">
      <c r="E708" s="132"/>
      <c r="F708" s="132"/>
      <c r="G708" s="132"/>
      <c r="H708" s="132"/>
      <c r="I708" s="132"/>
      <c r="J708" s="132"/>
      <c r="K708" s="132"/>
    </row>
    <row r="709" spans="5:11" x14ac:dyDescent="0.25">
      <c r="E709" s="132"/>
      <c r="F709" s="132"/>
      <c r="G709" s="132"/>
      <c r="H709" s="132"/>
      <c r="I709" s="132"/>
      <c r="J709" s="132"/>
      <c r="K709" s="132"/>
    </row>
    <row r="710" spans="5:11" x14ac:dyDescent="0.25">
      <c r="E710" s="132"/>
      <c r="F710" s="132"/>
      <c r="G710" s="132"/>
      <c r="H710" s="132"/>
      <c r="I710" s="132"/>
      <c r="J710" s="132"/>
      <c r="K710" s="132"/>
    </row>
    <row r="711" spans="5:11" x14ac:dyDescent="0.25">
      <c r="E711" s="132"/>
      <c r="F711" s="132"/>
      <c r="G711" s="132"/>
      <c r="H711" s="132"/>
      <c r="I711" s="132"/>
      <c r="J711" s="132"/>
      <c r="K711" s="132"/>
    </row>
    <row r="712" spans="5:11" x14ac:dyDescent="0.25">
      <c r="E712" s="132"/>
      <c r="F712" s="132"/>
      <c r="G712" s="132"/>
      <c r="H712" s="132"/>
      <c r="I712" s="132"/>
      <c r="J712" s="132"/>
      <c r="K712" s="132"/>
    </row>
    <row r="713" spans="5:11" x14ac:dyDescent="0.25">
      <c r="E713" s="132"/>
      <c r="F713" s="132"/>
      <c r="G713" s="132"/>
      <c r="H713" s="132"/>
      <c r="I713" s="132"/>
      <c r="J713" s="132"/>
      <c r="K713" s="132"/>
    </row>
    <row r="714" spans="5:11" x14ac:dyDescent="0.25">
      <c r="E714" s="132"/>
      <c r="F714" s="132"/>
      <c r="G714" s="132"/>
      <c r="H714" s="132"/>
      <c r="I714" s="132"/>
      <c r="J714" s="132"/>
      <c r="K714" s="132"/>
    </row>
    <row r="715" spans="5:11" x14ac:dyDescent="0.25">
      <c r="E715" s="132"/>
      <c r="F715" s="132"/>
      <c r="G715" s="132"/>
      <c r="H715" s="132"/>
      <c r="I715" s="132"/>
      <c r="J715" s="132"/>
      <c r="K715" s="132"/>
    </row>
    <row r="716" spans="5:11" x14ac:dyDescent="0.25">
      <c r="E716" s="132"/>
      <c r="F716" s="132"/>
      <c r="G716" s="132"/>
      <c r="H716" s="132"/>
      <c r="I716" s="132"/>
      <c r="J716" s="132"/>
      <c r="K716" s="132"/>
    </row>
    <row r="717" spans="5:11" x14ac:dyDescent="0.25">
      <c r="E717" s="132"/>
      <c r="F717" s="132"/>
      <c r="G717" s="132"/>
      <c r="H717" s="132"/>
      <c r="I717" s="132"/>
      <c r="J717" s="132"/>
      <c r="K717" s="132"/>
    </row>
    <row r="718" spans="5:11" x14ac:dyDescent="0.25">
      <c r="E718" s="132"/>
      <c r="F718" s="132"/>
      <c r="G718" s="132"/>
      <c r="H718" s="132"/>
      <c r="I718" s="132"/>
      <c r="J718" s="132"/>
      <c r="K718" s="132"/>
    </row>
    <row r="719" spans="5:11" x14ac:dyDescent="0.25">
      <c r="E719" s="132"/>
      <c r="F719" s="132"/>
      <c r="G719" s="132"/>
      <c r="H719" s="132"/>
      <c r="I719" s="132"/>
      <c r="J719" s="132"/>
      <c r="K719" s="132"/>
    </row>
    <row r="720" spans="5:11" x14ac:dyDescent="0.25">
      <c r="E720" s="132"/>
      <c r="F720" s="132"/>
      <c r="G720" s="132"/>
      <c r="H720" s="132"/>
      <c r="I720" s="132"/>
      <c r="J720" s="132"/>
      <c r="K720" s="132"/>
    </row>
    <row r="721" spans="5:11" x14ac:dyDescent="0.25">
      <c r="E721" s="132"/>
      <c r="F721" s="132"/>
      <c r="G721" s="132"/>
      <c r="H721" s="132"/>
      <c r="I721" s="132"/>
      <c r="J721" s="132"/>
      <c r="K721" s="132"/>
    </row>
    <row r="722" spans="5:11" x14ac:dyDescent="0.25">
      <c r="E722" s="132"/>
      <c r="F722" s="132"/>
      <c r="G722" s="132"/>
      <c r="H722" s="132"/>
      <c r="I722" s="132"/>
      <c r="J722" s="132"/>
      <c r="K722" s="132"/>
    </row>
    <row r="723" spans="5:11" x14ac:dyDescent="0.25">
      <c r="E723" s="132"/>
      <c r="F723" s="132"/>
      <c r="G723" s="132"/>
      <c r="H723" s="132"/>
      <c r="I723" s="132"/>
      <c r="J723" s="132"/>
      <c r="K723" s="132"/>
    </row>
    <row r="724" spans="5:11" x14ac:dyDescent="0.25">
      <c r="E724" s="132"/>
      <c r="F724" s="132"/>
      <c r="G724" s="132"/>
      <c r="H724" s="132"/>
      <c r="I724" s="132"/>
      <c r="J724" s="132"/>
      <c r="K724" s="132"/>
    </row>
    <row r="725" spans="5:11" x14ac:dyDescent="0.25">
      <c r="E725" s="132"/>
      <c r="F725" s="132"/>
      <c r="G725" s="132"/>
      <c r="H725" s="132"/>
      <c r="I725" s="132"/>
      <c r="J725" s="132"/>
      <c r="K725" s="132"/>
    </row>
    <row r="726" spans="5:11" x14ac:dyDescent="0.25">
      <c r="E726" s="132"/>
      <c r="F726" s="132"/>
      <c r="G726" s="132"/>
      <c r="H726" s="132"/>
      <c r="I726" s="132"/>
      <c r="J726" s="132"/>
      <c r="K726" s="132"/>
    </row>
    <row r="727" spans="5:11" x14ac:dyDescent="0.25">
      <c r="E727" s="132"/>
      <c r="F727" s="132"/>
      <c r="G727" s="132"/>
      <c r="H727" s="132"/>
      <c r="I727" s="132"/>
      <c r="J727" s="132"/>
      <c r="K727" s="132"/>
    </row>
    <row r="728" spans="5:11" x14ac:dyDescent="0.25">
      <c r="E728" s="132"/>
      <c r="F728" s="132"/>
      <c r="G728" s="132"/>
      <c r="H728" s="132"/>
      <c r="I728" s="132"/>
      <c r="J728" s="132"/>
      <c r="K728" s="132"/>
    </row>
    <row r="729" spans="5:11" x14ac:dyDescent="0.25">
      <c r="E729" s="132"/>
      <c r="F729" s="132"/>
      <c r="G729" s="132"/>
      <c r="H729" s="132"/>
      <c r="I729" s="132"/>
      <c r="J729" s="132"/>
      <c r="K729" s="132"/>
    </row>
    <row r="730" spans="5:11" x14ac:dyDescent="0.25">
      <c r="E730" s="132"/>
      <c r="F730" s="132"/>
      <c r="G730" s="132"/>
      <c r="H730" s="132"/>
      <c r="I730" s="132"/>
      <c r="J730" s="132"/>
      <c r="K730" s="132"/>
    </row>
    <row r="731" spans="5:11" x14ac:dyDescent="0.25">
      <c r="E731" s="132"/>
      <c r="F731" s="132"/>
      <c r="G731" s="132"/>
      <c r="H731" s="132"/>
      <c r="I731" s="132"/>
      <c r="J731" s="132"/>
      <c r="K731" s="132"/>
    </row>
    <row r="732" spans="5:11" x14ac:dyDescent="0.25">
      <c r="E732" s="132"/>
      <c r="F732" s="132"/>
      <c r="G732" s="132"/>
      <c r="H732" s="132"/>
      <c r="I732" s="132"/>
      <c r="J732" s="132"/>
      <c r="K732" s="132"/>
    </row>
    <row r="733" spans="5:11" x14ac:dyDescent="0.25">
      <c r="E733" s="132"/>
      <c r="F733" s="132"/>
      <c r="G733" s="132"/>
      <c r="H733" s="132"/>
      <c r="I733" s="132"/>
      <c r="J733" s="132"/>
      <c r="K733" s="132"/>
    </row>
    <row r="734" spans="5:11" x14ac:dyDescent="0.25">
      <c r="E734" s="132"/>
      <c r="F734" s="132"/>
      <c r="G734" s="132"/>
      <c r="H734" s="132"/>
      <c r="I734" s="132"/>
      <c r="J734" s="132"/>
      <c r="K734" s="132"/>
    </row>
    <row r="735" spans="5:11" x14ac:dyDescent="0.25">
      <c r="E735" s="132"/>
      <c r="F735" s="132"/>
      <c r="G735" s="132"/>
      <c r="H735" s="132"/>
      <c r="I735" s="132"/>
      <c r="J735" s="132"/>
      <c r="K735" s="132"/>
    </row>
    <row r="736" spans="5:11" x14ac:dyDescent="0.25">
      <c r="E736" s="132"/>
      <c r="F736" s="132"/>
      <c r="G736" s="132"/>
      <c r="H736" s="132"/>
      <c r="I736" s="132"/>
      <c r="J736" s="132"/>
      <c r="K736" s="132"/>
    </row>
    <row r="737" spans="5:11" x14ac:dyDescent="0.25">
      <c r="E737" s="132"/>
      <c r="F737" s="132"/>
      <c r="G737" s="132"/>
      <c r="H737" s="132"/>
      <c r="I737" s="132"/>
      <c r="J737" s="132"/>
      <c r="K737" s="132"/>
    </row>
    <row r="738" spans="5:11" x14ac:dyDescent="0.25">
      <c r="E738" s="132"/>
      <c r="F738" s="132"/>
      <c r="G738" s="132"/>
      <c r="H738" s="132"/>
      <c r="I738" s="132"/>
      <c r="J738" s="132"/>
      <c r="K738" s="132"/>
    </row>
    <row r="739" spans="5:11" x14ac:dyDescent="0.25">
      <c r="E739" s="132"/>
      <c r="F739" s="132"/>
      <c r="G739" s="132"/>
      <c r="H739" s="132"/>
      <c r="I739" s="132"/>
      <c r="J739" s="132"/>
      <c r="K739" s="132"/>
    </row>
    <row r="740" spans="5:11" x14ac:dyDescent="0.25">
      <c r="E740" s="132"/>
      <c r="F740" s="132"/>
      <c r="G740" s="132"/>
      <c r="H740" s="132"/>
      <c r="I740" s="132"/>
      <c r="J740" s="132"/>
      <c r="K740" s="132"/>
    </row>
    <row r="741" spans="5:11" x14ac:dyDescent="0.25">
      <c r="E741" s="132"/>
      <c r="F741" s="132"/>
      <c r="G741" s="132"/>
      <c r="H741" s="132"/>
      <c r="I741" s="132"/>
      <c r="J741" s="132"/>
      <c r="K741" s="132"/>
    </row>
    <row r="742" spans="5:11" x14ac:dyDescent="0.25">
      <c r="E742" s="132"/>
      <c r="F742" s="132"/>
      <c r="G742" s="132"/>
      <c r="H742" s="132"/>
      <c r="I742" s="132"/>
      <c r="J742" s="132"/>
      <c r="K742" s="132"/>
    </row>
    <row r="743" spans="5:11" x14ac:dyDescent="0.25">
      <c r="E743" s="132"/>
      <c r="F743" s="132"/>
      <c r="G743" s="132"/>
      <c r="H743" s="132"/>
      <c r="I743" s="132"/>
      <c r="J743" s="132"/>
      <c r="K743" s="132"/>
    </row>
    <row r="744" spans="5:11" x14ac:dyDescent="0.25">
      <c r="E744" s="132"/>
      <c r="F744" s="132"/>
      <c r="G744" s="132"/>
      <c r="H744" s="132"/>
      <c r="I744" s="132"/>
      <c r="J744" s="132"/>
      <c r="K744" s="132"/>
    </row>
    <row r="745" spans="5:11" x14ac:dyDescent="0.25">
      <c r="E745" s="132"/>
      <c r="F745" s="132"/>
      <c r="G745" s="132"/>
      <c r="H745" s="132"/>
      <c r="I745" s="132"/>
      <c r="J745" s="132"/>
      <c r="K745" s="132"/>
    </row>
    <row r="746" spans="5:11" x14ac:dyDescent="0.25">
      <c r="E746" s="132"/>
      <c r="F746" s="132"/>
      <c r="G746" s="132"/>
      <c r="H746" s="132"/>
      <c r="I746" s="132"/>
      <c r="J746" s="132"/>
      <c r="K746" s="132"/>
    </row>
    <row r="747" spans="5:11" x14ac:dyDescent="0.25">
      <c r="E747" s="132"/>
      <c r="F747" s="132"/>
      <c r="G747" s="132"/>
      <c r="H747" s="132"/>
      <c r="I747" s="132"/>
      <c r="J747" s="132"/>
      <c r="K747" s="132"/>
    </row>
    <row r="748" spans="5:11" x14ac:dyDescent="0.25">
      <c r="E748" s="132"/>
      <c r="F748" s="132"/>
      <c r="G748" s="132"/>
      <c r="H748" s="132"/>
      <c r="I748" s="132"/>
      <c r="J748" s="132"/>
      <c r="K748" s="132"/>
    </row>
    <row r="749" spans="5:11" x14ac:dyDescent="0.25">
      <c r="E749" s="132"/>
      <c r="F749" s="132"/>
      <c r="G749" s="132"/>
      <c r="H749" s="132"/>
      <c r="I749" s="132"/>
      <c r="J749" s="132"/>
      <c r="K749" s="132"/>
    </row>
    <row r="750" spans="5:11" x14ac:dyDescent="0.25">
      <c r="E750" s="132"/>
      <c r="F750" s="132"/>
      <c r="G750" s="132"/>
      <c r="H750" s="132"/>
      <c r="I750" s="132"/>
      <c r="J750" s="132"/>
      <c r="K750" s="132"/>
    </row>
    <row r="751" spans="5:11" x14ac:dyDescent="0.25">
      <c r="E751" s="132"/>
      <c r="F751" s="132"/>
      <c r="G751" s="132"/>
      <c r="H751" s="132"/>
      <c r="I751" s="132"/>
      <c r="J751" s="132"/>
      <c r="K751" s="132"/>
    </row>
    <row r="752" spans="5:11" x14ac:dyDescent="0.25">
      <c r="E752" s="132"/>
      <c r="F752" s="132"/>
      <c r="G752" s="132"/>
      <c r="H752" s="132"/>
      <c r="I752" s="132"/>
      <c r="J752" s="132"/>
      <c r="K752" s="132"/>
    </row>
    <row r="753" spans="5:11" x14ac:dyDescent="0.25">
      <c r="E753" s="132"/>
      <c r="F753" s="132"/>
      <c r="G753" s="132"/>
      <c r="H753" s="132"/>
      <c r="I753" s="132"/>
      <c r="J753" s="132"/>
      <c r="K753" s="132"/>
    </row>
    <row r="754" spans="5:11" x14ac:dyDescent="0.25">
      <c r="E754" s="132"/>
      <c r="F754" s="132"/>
      <c r="G754" s="132"/>
      <c r="H754" s="132"/>
      <c r="I754" s="132"/>
      <c r="J754" s="132"/>
      <c r="K754" s="132"/>
    </row>
    <row r="755" spans="5:11" x14ac:dyDescent="0.25">
      <c r="E755" s="132"/>
      <c r="F755" s="132"/>
      <c r="G755" s="132"/>
      <c r="H755" s="132"/>
      <c r="I755" s="132"/>
      <c r="J755" s="132"/>
      <c r="K755" s="132"/>
    </row>
    <row r="756" spans="5:11" x14ac:dyDescent="0.25">
      <c r="E756" s="132"/>
      <c r="F756" s="132"/>
      <c r="G756" s="132"/>
      <c r="H756" s="132"/>
      <c r="I756" s="132"/>
      <c r="J756" s="132"/>
      <c r="K756" s="132"/>
    </row>
    <row r="757" spans="5:11" x14ac:dyDescent="0.25">
      <c r="E757" s="132"/>
      <c r="F757" s="132"/>
      <c r="G757" s="132"/>
      <c r="H757" s="132"/>
      <c r="I757" s="132"/>
      <c r="J757" s="132"/>
      <c r="K757" s="132"/>
    </row>
    <row r="758" spans="5:11" x14ac:dyDescent="0.25">
      <c r="E758" s="132"/>
      <c r="F758" s="132"/>
      <c r="G758" s="132"/>
      <c r="H758" s="132"/>
      <c r="I758" s="132"/>
      <c r="J758" s="132"/>
      <c r="K758" s="132"/>
    </row>
    <row r="759" spans="5:11" x14ac:dyDescent="0.25">
      <c r="E759" s="132"/>
      <c r="F759" s="132"/>
      <c r="G759" s="132"/>
      <c r="H759" s="132"/>
      <c r="I759" s="132"/>
      <c r="J759" s="132"/>
      <c r="K759" s="132"/>
    </row>
    <row r="760" spans="5:11" x14ac:dyDescent="0.25">
      <c r="E760" s="132"/>
      <c r="F760" s="132"/>
      <c r="G760" s="132"/>
      <c r="H760" s="132"/>
      <c r="I760" s="132"/>
      <c r="J760" s="132"/>
      <c r="K760" s="132"/>
    </row>
    <row r="761" spans="5:11" x14ac:dyDescent="0.25">
      <c r="E761" s="132"/>
      <c r="F761" s="132"/>
      <c r="G761" s="132"/>
      <c r="H761" s="132"/>
      <c r="I761" s="132"/>
      <c r="J761" s="132"/>
      <c r="K761" s="132"/>
    </row>
    <row r="762" spans="5:11" x14ac:dyDescent="0.25">
      <c r="E762" s="132"/>
      <c r="F762" s="132"/>
      <c r="G762" s="132"/>
      <c r="H762" s="132"/>
      <c r="I762" s="132"/>
      <c r="J762" s="132"/>
      <c r="K762" s="132"/>
    </row>
    <row r="763" spans="5:11" x14ac:dyDescent="0.25">
      <c r="E763" s="132"/>
      <c r="F763" s="132"/>
      <c r="G763" s="132"/>
      <c r="H763" s="132"/>
      <c r="I763" s="132"/>
      <c r="J763" s="132"/>
      <c r="K763" s="132"/>
    </row>
    <row r="764" spans="5:11" x14ac:dyDescent="0.25">
      <c r="E764" s="132"/>
      <c r="F764" s="132"/>
      <c r="G764" s="132"/>
      <c r="H764" s="132"/>
      <c r="I764" s="132"/>
      <c r="J764" s="132"/>
      <c r="K764" s="132"/>
    </row>
    <row r="765" spans="5:11" x14ac:dyDescent="0.25">
      <c r="E765" s="132"/>
      <c r="F765" s="132"/>
      <c r="G765" s="132"/>
      <c r="H765" s="132"/>
      <c r="I765" s="132"/>
      <c r="J765" s="132"/>
      <c r="K765" s="132"/>
    </row>
    <row r="766" spans="5:11" x14ac:dyDescent="0.25">
      <c r="E766" s="132"/>
      <c r="F766" s="132"/>
      <c r="G766" s="132"/>
      <c r="H766" s="132"/>
      <c r="I766" s="132"/>
      <c r="J766" s="132"/>
      <c r="K766" s="132"/>
    </row>
    <row r="767" spans="5:11" x14ac:dyDescent="0.25">
      <c r="E767" s="132"/>
      <c r="F767" s="132"/>
      <c r="G767" s="132"/>
      <c r="H767" s="132"/>
      <c r="I767" s="132"/>
      <c r="J767" s="132"/>
      <c r="K767" s="132"/>
    </row>
    <row r="768" spans="5:11" x14ac:dyDescent="0.25">
      <c r="E768" s="132"/>
      <c r="F768" s="132"/>
      <c r="G768" s="132"/>
      <c r="H768" s="132"/>
      <c r="I768" s="132"/>
      <c r="J768" s="132"/>
      <c r="K768" s="132"/>
    </row>
    <row r="769" spans="5:11" x14ac:dyDescent="0.25">
      <c r="E769" s="132"/>
      <c r="F769" s="132"/>
      <c r="G769" s="132"/>
      <c r="H769" s="132"/>
      <c r="I769" s="132"/>
      <c r="J769" s="132"/>
      <c r="K769" s="132"/>
    </row>
    <row r="770" spans="5:11" x14ac:dyDescent="0.25">
      <c r="E770" s="132"/>
      <c r="F770" s="132"/>
      <c r="G770" s="132"/>
      <c r="H770" s="132"/>
      <c r="I770" s="132"/>
      <c r="J770" s="132"/>
      <c r="K770" s="132"/>
    </row>
    <row r="771" spans="5:11" x14ac:dyDescent="0.25">
      <c r="E771" s="132"/>
      <c r="F771" s="132"/>
      <c r="G771" s="132"/>
      <c r="H771" s="132"/>
      <c r="I771" s="132"/>
      <c r="J771" s="132"/>
      <c r="K771" s="132"/>
    </row>
    <row r="772" spans="5:11" x14ac:dyDescent="0.25">
      <c r="E772" s="132"/>
      <c r="F772" s="132"/>
      <c r="G772" s="132"/>
      <c r="H772" s="132"/>
      <c r="I772" s="132"/>
      <c r="J772" s="132"/>
      <c r="K772" s="132"/>
    </row>
    <row r="773" spans="5:11" x14ac:dyDescent="0.25">
      <c r="E773" s="132"/>
      <c r="F773" s="132"/>
      <c r="G773" s="132"/>
      <c r="H773" s="132"/>
      <c r="I773" s="132"/>
      <c r="J773" s="132"/>
      <c r="K773" s="132"/>
    </row>
    <row r="774" spans="5:11" x14ac:dyDescent="0.25">
      <c r="E774" s="132"/>
      <c r="F774" s="132"/>
      <c r="G774" s="132"/>
      <c r="H774" s="132"/>
      <c r="I774" s="132"/>
      <c r="J774" s="132"/>
      <c r="K774" s="132"/>
    </row>
    <row r="775" spans="5:11" x14ac:dyDescent="0.25">
      <c r="E775" s="132"/>
      <c r="F775" s="132"/>
      <c r="G775" s="132"/>
      <c r="H775" s="132"/>
      <c r="I775" s="132"/>
      <c r="J775" s="132"/>
      <c r="K775" s="132"/>
    </row>
    <row r="776" spans="5:11" x14ac:dyDescent="0.25">
      <c r="E776" s="132"/>
      <c r="F776" s="132"/>
      <c r="G776" s="132"/>
      <c r="H776" s="132"/>
      <c r="I776" s="132"/>
      <c r="J776" s="132"/>
      <c r="K776" s="132"/>
    </row>
    <row r="777" spans="5:11" x14ac:dyDescent="0.25">
      <c r="E777" s="132"/>
      <c r="F777" s="132"/>
      <c r="G777" s="132"/>
      <c r="H777" s="132"/>
      <c r="I777" s="132"/>
      <c r="J777" s="132"/>
      <c r="K777" s="132"/>
    </row>
    <row r="778" spans="5:11" x14ac:dyDescent="0.25">
      <c r="E778" s="132"/>
      <c r="F778" s="132"/>
      <c r="G778" s="132"/>
      <c r="H778" s="132"/>
      <c r="I778" s="132"/>
      <c r="J778" s="132"/>
      <c r="K778" s="132"/>
    </row>
    <row r="779" spans="5:11" x14ac:dyDescent="0.25">
      <c r="E779" s="132"/>
      <c r="F779" s="132"/>
      <c r="G779" s="132"/>
      <c r="H779" s="132"/>
      <c r="I779" s="132"/>
      <c r="J779" s="132"/>
      <c r="K779" s="132"/>
    </row>
    <row r="780" spans="5:11" x14ac:dyDescent="0.25">
      <c r="E780" s="132"/>
      <c r="F780" s="132"/>
      <c r="G780" s="132"/>
      <c r="H780" s="132"/>
      <c r="I780" s="132"/>
      <c r="J780" s="132"/>
      <c r="K780" s="132"/>
    </row>
    <row r="781" spans="5:11" x14ac:dyDescent="0.25">
      <c r="E781" s="132"/>
      <c r="F781" s="132"/>
      <c r="G781" s="132"/>
      <c r="H781" s="132"/>
      <c r="I781" s="132"/>
      <c r="J781" s="132"/>
      <c r="K781" s="132"/>
    </row>
    <row r="782" spans="5:11" x14ac:dyDescent="0.25">
      <c r="E782" s="132"/>
      <c r="F782" s="132"/>
      <c r="G782" s="132"/>
      <c r="H782" s="132"/>
      <c r="I782" s="132"/>
      <c r="J782" s="132"/>
      <c r="K782" s="132"/>
    </row>
    <row r="783" spans="5:11" x14ac:dyDescent="0.25">
      <c r="E783" s="132"/>
      <c r="F783" s="132"/>
      <c r="G783" s="132"/>
      <c r="H783" s="132"/>
      <c r="I783" s="132"/>
      <c r="J783" s="132"/>
      <c r="K783" s="132"/>
    </row>
    <row r="784" spans="5:11" x14ac:dyDescent="0.25">
      <c r="E784" s="132"/>
      <c r="F784" s="132"/>
      <c r="G784" s="132"/>
      <c r="H784" s="132"/>
      <c r="I784" s="132"/>
      <c r="J784" s="132"/>
      <c r="K784" s="132"/>
    </row>
    <row r="785" spans="5:11" x14ac:dyDescent="0.25">
      <c r="E785" s="132"/>
      <c r="F785" s="132"/>
      <c r="G785" s="132"/>
      <c r="H785" s="132"/>
      <c r="I785" s="132"/>
      <c r="J785" s="132"/>
      <c r="K785" s="132"/>
    </row>
    <row r="786" spans="5:11" x14ac:dyDescent="0.25">
      <c r="E786" s="132"/>
      <c r="F786" s="132"/>
      <c r="G786" s="132"/>
      <c r="H786" s="132"/>
      <c r="I786" s="132"/>
      <c r="J786" s="132"/>
      <c r="K786" s="132"/>
    </row>
    <row r="787" spans="5:11" x14ac:dyDescent="0.25">
      <c r="E787" s="132"/>
      <c r="F787" s="132"/>
      <c r="G787" s="132"/>
      <c r="H787" s="132"/>
      <c r="I787" s="132"/>
      <c r="J787" s="132"/>
      <c r="K787" s="132"/>
    </row>
    <row r="788" spans="5:11" x14ac:dyDescent="0.25">
      <c r="E788" s="132"/>
      <c r="F788" s="132"/>
      <c r="G788" s="132"/>
      <c r="H788" s="132"/>
      <c r="I788" s="132"/>
      <c r="J788" s="132"/>
      <c r="K788" s="132"/>
    </row>
    <row r="789" spans="5:11" x14ac:dyDescent="0.25">
      <c r="E789" s="132"/>
      <c r="F789" s="132"/>
      <c r="G789" s="132"/>
      <c r="H789" s="132"/>
      <c r="I789" s="132"/>
      <c r="J789" s="132"/>
      <c r="K789" s="132"/>
    </row>
    <row r="790" spans="5:11" x14ac:dyDescent="0.25">
      <c r="E790" s="132"/>
      <c r="F790" s="132"/>
      <c r="G790" s="132"/>
      <c r="H790" s="132"/>
      <c r="I790" s="132"/>
      <c r="J790" s="132"/>
      <c r="K790" s="132"/>
    </row>
    <row r="791" spans="5:11" x14ac:dyDescent="0.25">
      <c r="E791" s="132"/>
      <c r="F791" s="132"/>
      <c r="G791" s="132"/>
      <c r="H791" s="132"/>
      <c r="I791" s="132"/>
      <c r="J791" s="132"/>
      <c r="K791" s="132"/>
    </row>
    <row r="792" spans="5:11" x14ac:dyDescent="0.25">
      <c r="E792" s="132"/>
      <c r="F792" s="132"/>
      <c r="G792" s="132"/>
      <c r="H792" s="132"/>
      <c r="I792" s="132"/>
      <c r="J792" s="132"/>
      <c r="K792" s="132"/>
    </row>
    <row r="793" spans="5:11" x14ac:dyDescent="0.25">
      <c r="E793" s="132"/>
      <c r="F793" s="132"/>
      <c r="G793" s="132"/>
      <c r="H793" s="132"/>
      <c r="I793" s="132"/>
      <c r="J793" s="132"/>
      <c r="K793" s="132"/>
    </row>
    <row r="794" spans="5:11" x14ac:dyDescent="0.25">
      <c r="E794" s="132"/>
      <c r="F794" s="132"/>
      <c r="G794" s="132"/>
      <c r="H794" s="132"/>
      <c r="I794" s="132"/>
      <c r="J794" s="132"/>
      <c r="K794" s="132"/>
    </row>
    <row r="795" spans="5:11" x14ac:dyDescent="0.25">
      <c r="E795" s="132"/>
      <c r="F795" s="132"/>
      <c r="G795" s="132"/>
      <c r="H795" s="132"/>
      <c r="I795" s="132"/>
      <c r="J795" s="132"/>
      <c r="K795" s="132"/>
    </row>
    <row r="796" spans="5:11" x14ac:dyDescent="0.25">
      <c r="E796" s="132"/>
      <c r="F796" s="132"/>
      <c r="G796" s="132"/>
      <c r="H796" s="132"/>
      <c r="I796" s="132"/>
      <c r="J796" s="132"/>
      <c r="K796" s="132"/>
    </row>
    <row r="797" spans="5:11" x14ac:dyDescent="0.25">
      <c r="E797" s="132"/>
      <c r="F797" s="132"/>
      <c r="G797" s="132"/>
      <c r="H797" s="132"/>
      <c r="I797" s="132"/>
      <c r="J797" s="132"/>
      <c r="K797" s="132"/>
    </row>
    <row r="798" spans="5:11" x14ac:dyDescent="0.25">
      <c r="E798" s="132"/>
      <c r="F798" s="132"/>
      <c r="G798" s="132"/>
      <c r="H798" s="132"/>
      <c r="I798" s="132"/>
      <c r="J798" s="132"/>
      <c r="K798" s="132"/>
    </row>
    <row r="799" spans="5:11" x14ac:dyDescent="0.25">
      <c r="E799" s="132"/>
      <c r="F799" s="132"/>
      <c r="G799" s="132"/>
      <c r="H799" s="132"/>
      <c r="I799" s="132"/>
      <c r="J799" s="132"/>
      <c r="K799" s="132"/>
    </row>
    <row r="800" spans="5:11" x14ac:dyDescent="0.25">
      <c r="E800" s="132"/>
      <c r="F800" s="132"/>
      <c r="G800" s="132"/>
      <c r="H800" s="132"/>
      <c r="I800" s="132"/>
      <c r="J800" s="132"/>
      <c r="K800" s="132"/>
    </row>
    <row r="801" spans="5:11" x14ac:dyDescent="0.25">
      <c r="E801" s="132"/>
      <c r="F801" s="132"/>
      <c r="G801" s="132"/>
      <c r="H801" s="132"/>
      <c r="I801" s="132"/>
      <c r="J801" s="132"/>
      <c r="K801" s="132"/>
    </row>
    <row r="802" spans="5:11" x14ac:dyDescent="0.25">
      <c r="E802" s="132"/>
      <c r="F802" s="132"/>
      <c r="G802" s="132"/>
      <c r="H802" s="132"/>
      <c r="I802" s="132"/>
      <c r="J802" s="132"/>
      <c r="K802" s="132"/>
    </row>
    <row r="803" spans="5:11" x14ac:dyDescent="0.25">
      <c r="E803" s="132"/>
      <c r="F803" s="132"/>
      <c r="G803" s="132"/>
      <c r="H803" s="132"/>
      <c r="I803" s="132"/>
      <c r="J803" s="132"/>
      <c r="K803" s="132"/>
    </row>
    <row r="804" spans="5:11" x14ac:dyDescent="0.25">
      <c r="E804" s="132"/>
      <c r="F804" s="132"/>
      <c r="G804" s="132"/>
      <c r="H804" s="132"/>
      <c r="I804" s="132"/>
      <c r="J804" s="132"/>
      <c r="K804" s="132"/>
    </row>
    <row r="805" spans="5:11" x14ac:dyDescent="0.25">
      <c r="E805" s="132"/>
      <c r="F805" s="132"/>
      <c r="G805" s="132"/>
      <c r="H805" s="132"/>
      <c r="I805" s="132"/>
      <c r="J805" s="132"/>
      <c r="K805" s="132"/>
    </row>
    <row r="806" spans="5:11" x14ac:dyDescent="0.25">
      <c r="E806" s="132"/>
      <c r="F806" s="132"/>
      <c r="G806" s="132"/>
      <c r="H806" s="132"/>
      <c r="I806" s="132"/>
      <c r="J806" s="132"/>
      <c r="K806" s="132"/>
    </row>
    <row r="807" spans="5:11" x14ac:dyDescent="0.25">
      <c r="E807" s="132"/>
      <c r="F807" s="132"/>
      <c r="G807" s="132"/>
      <c r="H807" s="132"/>
      <c r="I807" s="132"/>
      <c r="J807" s="132"/>
      <c r="K807" s="132"/>
    </row>
    <row r="808" spans="5:11" x14ac:dyDescent="0.25">
      <c r="E808" s="132"/>
      <c r="F808" s="132"/>
      <c r="G808" s="132"/>
      <c r="H808" s="132"/>
      <c r="I808" s="132"/>
      <c r="J808" s="132"/>
      <c r="K808" s="132"/>
    </row>
    <row r="809" spans="5:11" x14ac:dyDescent="0.25">
      <c r="E809" s="132"/>
      <c r="F809" s="132"/>
      <c r="G809" s="132"/>
      <c r="H809" s="132"/>
      <c r="I809" s="132"/>
      <c r="J809" s="132"/>
      <c r="K809" s="132"/>
    </row>
    <row r="810" spans="5:11" x14ac:dyDescent="0.25">
      <c r="E810" s="132"/>
      <c r="F810" s="132"/>
      <c r="G810" s="132"/>
      <c r="H810" s="132"/>
      <c r="I810" s="132"/>
      <c r="J810" s="132"/>
      <c r="K810" s="132"/>
    </row>
    <row r="811" spans="5:11" x14ac:dyDescent="0.25">
      <c r="E811" s="132"/>
      <c r="F811" s="132"/>
      <c r="G811" s="132"/>
      <c r="H811" s="132"/>
      <c r="I811" s="132"/>
      <c r="J811" s="132"/>
      <c r="K811" s="132"/>
    </row>
    <row r="812" spans="5:11" x14ac:dyDescent="0.25">
      <c r="E812" s="132"/>
      <c r="F812" s="132"/>
      <c r="G812" s="132"/>
      <c r="H812" s="132"/>
      <c r="I812" s="132"/>
      <c r="J812" s="132"/>
      <c r="K812" s="132"/>
    </row>
    <row r="813" spans="5:11" x14ac:dyDescent="0.25">
      <c r="E813" s="132"/>
      <c r="F813" s="132"/>
      <c r="G813" s="132"/>
      <c r="H813" s="132"/>
      <c r="I813" s="132"/>
      <c r="J813" s="132"/>
      <c r="K813" s="132"/>
    </row>
    <row r="814" spans="5:11" x14ac:dyDescent="0.25">
      <c r="E814" s="132"/>
      <c r="F814" s="132"/>
      <c r="G814" s="132"/>
      <c r="H814" s="132"/>
      <c r="I814" s="132"/>
      <c r="J814" s="132"/>
      <c r="K814" s="132"/>
    </row>
    <row r="815" spans="5:11" x14ac:dyDescent="0.25">
      <c r="E815" s="132"/>
      <c r="F815" s="132"/>
      <c r="G815" s="132"/>
      <c r="H815" s="132"/>
      <c r="I815" s="132"/>
      <c r="J815" s="132"/>
      <c r="K815" s="132"/>
    </row>
    <row r="816" spans="5:11" x14ac:dyDescent="0.25">
      <c r="E816" s="132"/>
      <c r="F816" s="132"/>
      <c r="G816" s="132"/>
      <c r="H816" s="132"/>
      <c r="I816" s="132"/>
      <c r="J816" s="132"/>
      <c r="K816" s="132"/>
    </row>
    <row r="817" spans="5:11" x14ac:dyDescent="0.25">
      <c r="E817" s="132"/>
      <c r="F817" s="132"/>
      <c r="G817" s="132"/>
      <c r="H817" s="132"/>
      <c r="I817" s="132"/>
      <c r="J817" s="132"/>
      <c r="K817" s="132"/>
    </row>
    <row r="818" spans="5:11" x14ac:dyDescent="0.25">
      <c r="E818" s="132"/>
      <c r="F818" s="132"/>
      <c r="G818" s="132"/>
      <c r="H818" s="132"/>
      <c r="I818" s="132"/>
      <c r="J818" s="132"/>
      <c r="K818" s="132"/>
    </row>
    <row r="819" spans="5:11" x14ac:dyDescent="0.25">
      <c r="E819" s="132"/>
      <c r="F819" s="132"/>
      <c r="G819" s="132"/>
      <c r="H819" s="132"/>
      <c r="I819" s="132"/>
      <c r="J819" s="132"/>
      <c r="K819" s="132"/>
    </row>
    <row r="820" spans="5:11" x14ac:dyDescent="0.25">
      <c r="E820" s="132"/>
      <c r="F820" s="132"/>
      <c r="G820" s="132"/>
      <c r="H820" s="132"/>
      <c r="I820" s="132"/>
      <c r="J820" s="132"/>
      <c r="K820" s="132"/>
    </row>
    <row r="821" spans="5:11" x14ac:dyDescent="0.25">
      <c r="E821" s="132"/>
      <c r="F821" s="132"/>
      <c r="G821" s="132"/>
      <c r="H821" s="132"/>
      <c r="I821" s="132"/>
      <c r="J821" s="132"/>
      <c r="K821" s="132"/>
    </row>
    <row r="822" spans="5:11" x14ac:dyDescent="0.25">
      <c r="E822" s="132"/>
      <c r="F822" s="132"/>
      <c r="G822" s="132"/>
      <c r="H822" s="132"/>
      <c r="I822" s="132"/>
      <c r="J822" s="132"/>
      <c r="K822" s="132"/>
    </row>
    <row r="823" spans="5:11" x14ac:dyDescent="0.25">
      <c r="E823" s="132"/>
      <c r="F823" s="132"/>
      <c r="G823" s="132"/>
      <c r="H823" s="132"/>
      <c r="I823" s="132"/>
      <c r="J823" s="132"/>
      <c r="K823" s="132"/>
    </row>
    <row r="824" spans="5:11" x14ac:dyDescent="0.25">
      <c r="E824" s="132"/>
      <c r="F824" s="132"/>
      <c r="G824" s="132"/>
      <c r="H824" s="132"/>
      <c r="I824" s="132"/>
      <c r="J824" s="132"/>
      <c r="K824" s="132"/>
    </row>
    <row r="825" spans="5:11" x14ac:dyDescent="0.25">
      <c r="E825" s="132"/>
      <c r="F825" s="132"/>
      <c r="G825" s="132"/>
      <c r="H825" s="132"/>
      <c r="I825" s="132"/>
      <c r="J825" s="132"/>
      <c r="K825" s="132"/>
    </row>
    <row r="826" spans="5:11" x14ac:dyDescent="0.25">
      <c r="E826" s="132"/>
      <c r="F826" s="132"/>
      <c r="G826" s="132"/>
      <c r="H826" s="132"/>
      <c r="I826" s="132"/>
      <c r="J826" s="132"/>
      <c r="K826" s="132"/>
    </row>
    <row r="827" spans="5:11" x14ac:dyDescent="0.25">
      <c r="E827" s="132"/>
      <c r="F827" s="132"/>
      <c r="G827" s="132"/>
      <c r="H827" s="132"/>
      <c r="I827" s="132"/>
      <c r="J827" s="132"/>
      <c r="K827" s="132"/>
    </row>
    <row r="828" spans="5:11" x14ac:dyDescent="0.25">
      <c r="E828" s="132"/>
      <c r="F828" s="132"/>
      <c r="G828" s="132"/>
      <c r="H828" s="132"/>
      <c r="I828" s="132"/>
      <c r="J828" s="132"/>
      <c r="K828" s="132"/>
    </row>
    <row r="829" spans="5:11" x14ac:dyDescent="0.25">
      <c r="E829" s="132"/>
      <c r="F829" s="132"/>
      <c r="G829" s="132"/>
      <c r="H829" s="132"/>
      <c r="I829" s="132"/>
      <c r="J829" s="132"/>
      <c r="K829" s="132"/>
    </row>
    <row r="830" spans="5:11" x14ac:dyDescent="0.25">
      <c r="E830" s="132"/>
      <c r="F830" s="132"/>
      <c r="G830" s="132"/>
      <c r="H830" s="132"/>
      <c r="I830" s="132"/>
      <c r="J830" s="132"/>
      <c r="K830" s="132"/>
    </row>
    <row r="831" spans="5:11" x14ac:dyDescent="0.25">
      <c r="E831" s="132"/>
      <c r="F831" s="132"/>
      <c r="G831" s="132"/>
      <c r="H831" s="132"/>
      <c r="I831" s="132"/>
      <c r="J831" s="132"/>
      <c r="K831" s="132"/>
    </row>
    <row r="832" spans="5:11" x14ac:dyDescent="0.25">
      <c r="E832" s="132"/>
      <c r="F832" s="132"/>
      <c r="G832" s="132"/>
      <c r="H832" s="132"/>
      <c r="I832" s="132"/>
      <c r="J832" s="132"/>
      <c r="K832" s="132"/>
    </row>
    <row r="833" spans="5:11" x14ac:dyDescent="0.25">
      <c r="E833" s="132"/>
      <c r="F833" s="132"/>
      <c r="G833" s="132"/>
      <c r="H833" s="132"/>
      <c r="I833" s="132"/>
      <c r="J833" s="132"/>
      <c r="K833" s="132"/>
    </row>
    <row r="834" spans="5:11" x14ac:dyDescent="0.25">
      <c r="E834" s="132"/>
      <c r="F834" s="132"/>
      <c r="G834" s="132"/>
      <c r="H834" s="132"/>
      <c r="I834" s="132"/>
      <c r="J834" s="132"/>
      <c r="K834" s="132"/>
    </row>
    <row r="835" spans="5:11" x14ac:dyDescent="0.25">
      <c r="E835" s="132"/>
      <c r="F835" s="132"/>
      <c r="G835" s="132"/>
      <c r="H835" s="132"/>
      <c r="I835" s="132"/>
      <c r="J835" s="132"/>
      <c r="K835" s="132"/>
    </row>
    <row r="836" spans="5:11" x14ac:dyDescent="0.25">
      <c r="E836" s="132"/>
      <c r="F836" s="132"/>
      <c r="G836" s="132"/>
      <c r="H836" s="132"/>
      <c r="I836" s="132"/>
      <c r="J836" s="132"/>
      <c r="K836" s="132"/>
    </row>
    <row r="837" spans="5:11" x14ac:dyDescent="0.25">
      <c r="E837" s="132"/>
      <c r="F837" s="132"/>
      <c r="G837" s="132"/>
      <c r="H837" s="132"/>
      <c r="I837" s="132"/>
      <c r="J837" s="132"/>
      <c r="K837" s="132"/>
    </row>
    <row r="838" spans="5:11" x14ac:dyDescent="0.25">
      <c r="E838" s="132"/>
      <c r="F838" s="132"/>
      <c r="G838" s="132"/>
      <c r="H838" s="132"/>
      <c r="I838" s="132"/>
      <c r="J838" s="132"/>
      <c r="K838" s="132"/>
    </row>
    <row r="839" spans="5:11" x14ac:dyDescent="0.25">
      <c r="E839" s="132"/>
      <c r="F839" s="132"/>
      <c r="G839" s="132"/>
      <c r="H839" s="132"/>
      <c r="I839" s="132"/>
      <c r="J839" s="132"/>
      <c r="K839" s="132"/>
    </row>
    <row r="840" spans="5:11" x14ac:dyDescent="0.25">
      <c r="E840" s="132"/>
      <c r="F840" s="132"/>
      <c r="G840" s="132"/>
      <c r="H840" s="132"/>
      <c r="I840" s="132"/>
      <c r="J840" s="132"/>
      <c r="K840" s="132"/>
    </row>
    <row r="841" spans="5:11" x14ac:dyDescent="0.25">
      <c r="E841" s="132"/>
      <c r="F841" s="132"/>
      <c r="G841" s="132"/>
      <c r="H841" s="132"/>
      <c r="I841" s="132"/>
      <c r="J841" s="132"/>
      <c r="K841" s="132"/>
    </row>
    <row r="842" spans="5:11" x14ac:dyDescent="0.25">
      <c r="E842" s="132"/>
      <c r="F842" s="132"/>
      <c r="G842" s="132"/>
      <c r="H842" s="132"/>
      <c r="I842" s="132"/>
      <c r="J842" s="132"/>
      <c r="K842" s="132"/>
    </row>
    <row r="843" spans="5:11" x14ac:dyDescent="0.25">
      <c r="E843" s="132"/>
      <c r="F843" s="132"/>
      <c r="G843" s="132"/>
      <c r="H843" s="132"/>
      <c r="I843" s="132"/>
      <c r="J843" s="132"/>
      <c r="K843" s="132"/>
    </row>
    <row r="844" spans="5:11" x14ac:dyDescent="0.25">
      <c r="E844" s="132"/>
      <c r="F844" s="132"/>
      <c r="G844" s="132"/>
      <c r="H844" s="132"/>
      <c r="I844" s="132"/>
      <c r="J844" s="132"/>
      <c r="K844" s="132"/>
    </row>
    <row r="845" spans="5:11" x14ac:dyDescent="0.25">
      <c r="E845" s="132"/>
      <c r="F845" s="132"/>
      <c r="G845" s="132"/>
      <c r="H845" s="132"/>
      <c r="I845" s="132"/>
      <c r="J845" s="132"/>
      <c r="K845" s="132"/>
    </row>
    <row r="846" spans="5:11" x14ac:dyDescent="0.25">
      <c r="E846" s="132"/>
      <c r="F846" s="132"/>
      <c r="G846" s="132"/>
      <c r="H846" s="132"/>
      <c r="I846" s="132"/>
      <c r="J846" s="132"/>
      <c r="K846" s="132"/>
    </row>
    <row r="847" spans="5:11" x14ac:dyDescent="0.25">
      <c r="E847" s="132"/>
      <c r="F847" s="132"/>
      <c r="G847" s="132"/>
      <c r="H847" s="132"/>
      <c r="I847" s="132"/>
      <c r="J847" s="132"/>
      <c r="K847" s="132"/>
    </row>
    <row r="848" spans="5:11" x14ac:dyDescent="0.25">
      <c r="E848" s="132"/>
      <c r="F848" s="132"/>
      <c r="G848" s="132"/>
      <c r="H848" s="132"/>
      <c r="I848" s="132"/>
      <c r="J848" s="132"/>
      <c r="K848" s="132"/>
    </row>
    <row r="849" spans="5:11" x14ac:dyDescent="0.25">
      <c r="E849" s="132"/>
      <c r="F849" s="132"/>
      <c r="G849" s="132"/>
      <c r="H849" s="132"/>
      <c r="I849" s="132"/>
      <c r="J849" s="132"/>
      <c r="K849" s="132"/>
    </row>
    <row r="850" spans="5:11" x14ac:dyDescent="0.25">
      <c r="E850" s="132"/>
      <c r="F850" s="132"/>
      <c r="G850" s="132"/>
      <c r="H850" s="132"/>
      <c r="I850" s="132"/>
      <c r="J850" s="132"/>
      <c r="K850" s="132"/>
    </row>
    <row r="851" spans="5:11" x14ac:dyDescent="0.25">
      <c r="E851" s="132"/>
      <c r="F851" s="132"/>
      <c r="G851" s="132"/>
      <c r="H851" s="132"/>
      <c r="I851" s="132"/>
      <c r="J851" s="132"/>
      <c r="K851" s="132"/>
    </row>
    <row r="852" spans="5:11" x14ac:dyDescent="0.25">
      <c r="E852" s="132"/>
      <c r="F852" s="132"/>
      <c r="G852" s="132"/>
      <c r="H852" s="132"/>
      <c r="I852" s="132"/>
      <c r="J852" s="132"/>
      <c r="K852" s="132"/>
    </row>
    <row r="853" spans="5:11" x14ac:dyDescent="0.25">
      <c r="E853" s="132"/>
      <c r="F853" s="132"/>
      <c r="G853" s="132"/>
      <c r="H853" s="132"/>
      <c r="I853" s="132"/>
      <c r="J853" s="132"/>
      <c r="K853" s="132"/>
    </row>
    <row r="854" spans="5:11" x14ac:dyDescent="0.25">
      <c r="E854" s="132"/>
      <c r="F854" s="132"/>
      <c r="G854" s="132"/>
      <c r="H854" s="132"/>
      <c r="I854" s="132"/>
      <c r="J854" s="132"/>
      <c r="K854" s="132"/>
    </row>
    <row r="855" spans="5:11" x14ac:dyDescent="0.25">
      <c r="E855" s="132"/>
      <c r="F855" s="132"/>
      <c r="G855" s="132"/>
      <c r="H855" s="132"/>
      <c r="I855" s="132"/>
      <c r="J855" s="132"/>
      <c r="K855" s="132"/>
    </row>
    <row r="856" spans="5:11" x14ac:dyDescent="0.25">
      <c r="E856" s="132"/>
      <c r="F856" s="132"/>
      <c r="G856" s="132"/>
      <c r="H856" s="132"/>
      <c r="I856" s="132"/>
      <c r="J856" s="132"/>
      <c r="K856" s="132"/>
    </row>
    <row r="857" spans="5:11" x14ac:dyDescent="0.25">
      <c r="E857" s="132"/>
      <c r="F857" s="132"/>
      <c r="G857" s="132"/>
      <c r="H857" s="132"/>
      <c r="I857" s="132"/>
      <c r="J857" s="132"/>
      <c r="K857" s="132"/>
    </row>
    <row r="858" spans="5:11" x14ac:dyDescent="0.25">
      <c r="E858" s="132"/>
      <c r="F858" s="132"/>
      <c r="G858" s="132"/>
      <c r="H858" s="132"/>
      <c r="I858" s="132"/>
      <c r="J858" s="132"/>
      <c r="K858" s="132"/>
    </row>
    <row r="859" spans="5:11" x14ac:dyDescent="0.25">
      <c r="E859" s="132"/>
      <c r="F859" s="132"/>
      <c r="G859" s="132"/>
      <c r="H859" s="132"/>
      <c r="I859" s="132"/>
      <c r="J859" s="132"/>
      <c r="K859" s="132"/>
    </row>
    <row r="860" spans="5:11" x14ac:dyDescent="0.25">
      <c r="E860" s="132"/>
      <c r="F860" s="132"/>
      <c r="G860" s="132"/>
      <c r="H860" s="132"/>
      <c r="I860" s="132"/>
      <c r="J860" s="132"/>
      <c r="K860" s="132"/>
    </row>
    <row r="861" spans="5:11" x14ac:dyDescent="0.25">
      <c r="E861" s="132"/>
      <c r="F861" s="132"/>
      <c r="G861" s="132"/>
      <c r="H861" s="132"/>
      <c r="I861" s="132"/>
      <c r="J861" s="132"/>
      <c r="K861" s="132"/>
    </row>
    <row r="862" spans="5:11" x14ac:dyDescent="0.25">
      <c r="E862" s="132"/>
      <c r="F862" s="132"/>
      <c r="G862" s="132"/>
      <c r="H862" s="132"/>
      <c r="I862" s="132"/>
      <c r="J862" s="132"/>
      <c r="K862" s="132"/>
    </row>
    <row r="863" spans="5:11" x14ac:dyDescent="0.25">
      <c r="E863" s="132"/>
      <c r="F863" s="132"/>
      <c r="G863" s="132"/>
      <c r="H863" s="132"/>
      <c r="I863" s="132"/>
      <c r="J863" s="132"/>
      <c r="K863" s="132"/>
    </row>
    <row r="864" spans="5:11" x14ac:dyDescent="0.25">
      <c r="E864" s="132"/>
      <c r="F864" s="132"/>
      <c r="G864" s="132"/>
      <c r="H864" s="132"/>
      <c r="I864" s="132"/>
      <c r="J864" s="132"/>
      <c r="K864" s="132"/>
    </row>
    <row r="865" spans="5:11" x14ac:dyDescent="0.25">
      <c r="E865" s="132"/>
      <c r="F865" s="132"/>
      <c r="G865" s="132"/>
      <c r="H865" s="132"/>
      <c r="I865" s="132"/>
      <c r="J865" s="132"/>
      <c r="K865" s="132"/>
    </row>
    <row r="866" spans="5:11" x14ac:dyDescent="0.25">
      <c r="E866" s="132"/>
      <c r="F866" s="132"/>
      <c r="G866" s="132"/>
      <c r="H866" s="132"/>
      <c r="I866" s="132"/>
      <c r="J866" s="132"/>
      <c r="K866" s="132"/>
    </row>
    <row r="867" spans="5:11" x14ac:dyDescent="0.25">
      <c r="E867" s="132"/>
      <c r="F867" s="132"/>
      <c r="G867" s="132"/>
      <c r="H867" s="132"/>
      <c r="I867" s="132"/>
      <c r="J867" s="132"/>
      <c r="K867" s="132"/>
    </row>
    <row r="868" spans="5:11" x14ac:dyDescent="0.25">
      <c r="E868" s="132"/>
      <c r="F868" s="132"/>
      <c r="G868" s="132"/>
      <c r="H868" s="132"/>
      <c r="I868" s="132"/>
      <c r="J868" s="132"/>
      <c r="K868" s="132"/>
    </row>
    <row r="869" spans="5:11" x14ac:dyDescent="0.25">
      <c r="E869" s="132"/>
      <c r="F869" s="132"/>
      <c r="G869" s="132"/>
      <c r="H869" s="132"/>
      <c r="I869" s="132"/>
      <c r="J869" s="132"/>
      <c r="K869" s="132"/>
    </row>
    <row r="870" spans="5:11" x14ac:dyDescent="0.25">
      <c r="E870" s="132"/>
      <c r="F870" s="132"/>
      <c r="G870" s="132"/>
      <c r="H870" s="132"/>
      <c r="I870" s="132"/>
      <c r="J870" s="132"/>
      <c r="K870" s="132"/>
    </row>
    <row r="871" spans="5:11" x14ac:dyDescent="0.25">
      <c r="E871" s="132"/>
      <c r="F871" s="132"/>
      <c r="G871" s="132"/>
      <c r="H871" s="132"/>
      <c r="I871" s="132"/>
      <c r="J871" s="132"/>
      <c r="K871" s="132"/>
    </row>
    <row r="872" spans="5:11" x14ac:dyDescent="0.25">
      <c r="E872" s="132"/>
      <c r="F872" s="132"/>
      <c r="G872" s="132"/>
      <c r="H872" s="132"/>
      <c r="I872" s="132"/>
      <c r="J872" s="132"/>
      <c r="K872" s="132"/>
    </row>
    <row r="873" spans="5:11" x14ac:dyDescent="0.25">
      <c r="E873" s="132"/>
      <c r="F873" s="132"/>
      <c r="G873" s="132"/>
      <c r="H873" s="132"/>
      <c r="I873" s="132"/>
      <c r="J873" s="132"/>
      <c r="K873" s="132"/>
    </row>
    <row r="874" spans="5:11" x14ac:dyDescent="0.25">
      <c r="E874" s="132"/>
      <c r="F874" s="132"/>
      <c r="G874" s="132"/>
      <c r="H874" s="132"/>
      <c r="I874" s="132"/>
      <c r="J874" s="132"/>
      <c r="K874" s="132"/>
    </row>
    <row r="875" spans="5:11" x14ac:dyDescent="0.25">
      <c r="E875" s="132"/>
      <c r="F875" s="132"/>
      <c r="G875" s="132"/>
      <c r="H875" s="132"/>
      <c r="I875" s="132"/>
      <c r="J875" s="132"/>
      <c r="K875" s="132"/>
    </row>
    <row r="876" spans="5:11" x14ac:dyDescent="0.25">
      <c r="E876" s="132"/>
      <c r="F876" s="132"/>
      <c r="G876" s="132"/>
      <c r="H876" s="132"/>
      <c r="I876" s="132"/>
      <c r="J876" s="132"/>
      <c r="K876" s="132"/>
    </row>
    <row r="877" spans="5:11" x14ac:dyDescent="0.25">
      <c r="E877" s="132"/>
      <c r="F877" s="132"/>
      <c r="G877" s="132"/>
      <c r="H877" s="132"/>
      <c r="I877" s="132"/>
      <c r="J877" s="132"/>
      <c r="K877" s="132"/>
    </row>
    <row r="878" spans="5:11" x14ac:dyDescent="0.25">
      <c r="E878" s="132"/>
      <c r="F878" s="132"/>
      <c r="G878" s="132"/>
      <c r="H878" s="132"/>
      <c r="I878" s="132"/>
      <c r="J878" s="132"/>
      <c r="K878" s="132"/>
    </row>
    <row r="879" spans="5:11" x14ac:dyDescent="0.25">
      <c r="E879" s="132"/>
      <c r="F879" s="132"/>
      <c r="G879" s="132"/>
      <c r="H879" s="132"/>
      <c r="I879" s="132"/>
      <c r="J879" s="132"/>
      <c r="K879" s="132"/>
    </row>
    <row r="880" spans="5:11" x14ac:dyDescent="0.25">
      <c r="E880" s="132"/>
      <c r="F880" s="132"/>
      <c r="G880" s="132"/>
      <c r="H880" s="132"/>
      <c r="I880" s="132"/>
      <c r="J880" s="132"/>
      <c r="K880" s="132"/>
    </row>
    <row r="881" spans="5:11" x14ac:dyDescent="0.25">
      <c r="E881" s="132"/>
      <c r="F881" s="132"/>
      <c r="G881" s="132"/>
      <c r="H881" s="132"/>
      <c r="I881" s="132"/>
      <c r="J881" s="132"/>
      <c r="K881" s="132"/>
    </row>
    <row r="882" spans="5:11" x14ac:dyDescent="0.25">
      <c r="E882" s="132"/>
      <c r="F882" s="132"/>
      <c r="G882" s="132"/>
      <c r="H882" s="132"/>
      <c r="I882" s="132"/>
      <c r="J882" s="132"/>
      <c r="K882" s="132"/>
    </row>
    <row r="883" spans="5:11" x14ac:dyDescent="0.25">
      <c r="E883" s="132"/>
      <c r="F883" s="132"/>
      <c r="G883" s="132"/>
      <c r="H883" s="132"/>
      <c r="I883" s="132"/>
      <c r="J883" s="132"/>
      <c r="K883" s="132"/>
    </row>
    <row r="884" spans="5:11" x14ac:dyDescent="0.25">
      <c r="E884" s="132"/>
      <c r="F884" s="132"/>
      <c r="G884" s="132"/>
      <c r="H884" s="132"/>
      <c r="I884" s="132"/>
      <c r="J884" s="132"/>
      <c r="K884" s="132"/>
    </row>
    <row r="885" spans="5:11" x14ac:dyDescent="0.25">
      <c r="E885" s="132"/>
      <c r="F885" s="132"/>
      <c r="G885" s="132"/>
      <c r="H885" s="132"/>
      <c r="I885" s="132"/>
      <c r="J885" s="132"/>
      <c r="K885" s="132"/>
    </row>
    <row r="886" spans="5:11" x14ac:dyDescent="0.25">
      <c r="E886" s="132"/>
      <c r="F886" s="132"/>
      <c r="G886" s="132"/>
      <c r="H886" s="132"/>
      <c r="I886" s="132"/>
      <c r="J886" s="132"/>
      <c r="K886" s="132"/>
    </row>
    <row r="887" spans="5:11" x14ac:dyDescent="0.25">
      <c r="E887" s="132"/>
      <c r="F887" s="132"/>
      <c r="G887" s="132"/>
      <c r="H887" s="132"/>
      <c r="I887" s="132"/>
      <c r="J887" s="132"/>
      <c r="K887" s="132"/>
    </row>
    <row r="888" spans="5:11" x14ac:dyDescent="0.25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  <ignoredErrors>
    <ignoredError sqref="E46:G50 AC86:AN86 AC91:AM91 AT46:AV47 DN108:DO112 DN92:DN107 AV18 AP84:AV84 AC84:AO85 AF46:AS50 AC88:AN89 BP51:BQ51 Q15:BV15 BA46:BV50 DO113 E17:CO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8" width="8.88671875" customWidth="1"/>
    <col min="119" max="119" width="9.5546875" customWidth="1"/>
    <col min="120" max="138" width="11.44140625" style="200"/>
  </cols>
  <sheetData>
    <row r="2" spans="3:130" x14ac:dyDescent="0.25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8" t="str">
        <f>+entero!D3</f>
        <v>V   A   R   I   A   B   L   E   S     b/</v>
      </c>
      <c r="E4" s="910" t="str">
        <f>+entero!E3</f>
        <v>2008                          A  fines de Dic*</v>
      </c>
      <c r="F4" s="910" t="str">
        <f>+entero!F3</f>
        <v>2009                          A  fines de Ene*</v>
      </c>
      <c r="G4" s="910" t="str">
        <f>+entero!G3</f>
        <v>2009                          A  fines de Feb*</v>
      </c>
      <c r="H4" s="910" t="str">
        <f>+entero!H3</f>
        <v>2009                          A  fines de Mar*</v>
      </c>
      <c r="I4" s="910" t="str">
        <f>+entero!I3</f>
        <v>2009                          A  fines de Abr*</v>
      </c>
      <c r="J4" s="910" t="str">
        <f>+entero!J3</f>
        <v>2009                          A  fines de May*</v>
      </c>
      <c r="K4" s="910" t="str">
        <f>+entero!K3</f>
        <v>2009                          A  fines de Jun*</v>
      </c>
      <c r="L4" s="910" t="str">
        <f>+entero!L3</f>
        <v>2009                          A  fines de Jul*</v>
      </c>
      <c r="M4" s="910" t="str">
        <f>+entero!M3</f>
        <v>2009                          A  fines de Ago*</v>
      </c>
      <c r="N4" s="910" t="str">
        <f>+entero!N3</f>
        <v>2009                          A  fines de Sep*</v>
      </c>
      <c r="O4" s="910" t="str">
        <f>+entero!O3</f>
        <v>2009                          A  fines de Oct*</v>
      </c>
      <c r="P4" s="910" t="str">
        <f>+entero!P3</f>
        <v>2009                          A  fines de Nov*</v>
      </c>
      <c r="Q4" s="910" t="str">
        <f>+entero!Q3</f>
        <v>2009                          A  fines de Dic*</v>
      </c>
      <c r="R4" s="910" t="str">
        <f>+entero!R3</f>
        <v>2010                          A  fines de Ene*</v>
      </c>
      <c r="S4" s="910" t="str">
        <f>+entero!S3</f>
        <v>2010                          A  fines de Feb*</v>
      </c>
      <c r="T4" s="910" t="str">
        <f>+entero!T3</f>
        <v>2010                          A  fines de Mar*</v>
      </c>
      <c r="U4" s="910" t="str">
        <f>+entero!U3</f>
        <v>2010                          A  fines de Abr*</v>
      </c>
      <c r="V4" s="910" t="str">
        <f>+entero!V3</f>
        <v>2010                          A  fines de May*</v>
      </c>
      <c r="W4" s="910" t="str">
        <f>+entero!W3</f>
        <v>2010                          A  fines de Jun*</v>
      </c>
      <c r="X4" s="910" t="str">
        <f>+entero!X3</f>
        <v>2010                          A  fines de Jul*</v>
      </c>
      <c r="Y4" s="910" t="str">
        <f>+entero!Y3</f>
        <v>2010                          A  fines de Ago*</v>
      </c>
      <c r="Z4" s="910" t="str">
        <f>+entero!Z3</f>
        <v>2010                          A  fines de Sep*</v>
      </c>
      <c r="AA4" s="910" t="str">
        <f>+entero!AA3</f>
        <v>2010                          A  fines de Oct*</v>
      </c>
      <c r="AB4" s="910" t="str">
        <f>+entero!AB3</f>
        <v>2010                          A  fines de Nov*</v>
      </c>
      <c r="AC4" s="910" t="str">
        <f>+entero!AC3</f>
        <v>2010                          A  fines de Dic*</v>
      </c>
      <c r="AD4" s="910" t="str">
        <f>+entero!AD3</f>
        <v>2011                          A  fines de Ene*</v>
      </c>
      <c r="AE4" s="910" t="str">
        <f>+entero!AE3</f>
        <v>2011                          A  fines de Feb*</v>
      </c>
      <c r="AF4" s="910" t="str">
        <f>+entero!AF3</f>
        <v>2011                          A  fines de Mar*</v>
      </c>
      <c r="AG4" s="910" t="str">
        <f>+entero!AG3</f>
        <v>2011                          A  fines de Abr*</v>
      </c>
      <c r="AH4" s="910" t="str">
        <f>+entero!AH3</f>
        <v>2011                          A  fines de May*</v>
      </c>
      <c r="AI4" s="910" t="str">
        <f>+entero!AI3</f>
        <v>2011                          A  fines de Jun*</v>
      </c>
      <c r="AJ4" s="910" t="str">
        <f>+entero!AJ3</f>
        <v>2011                          A  fines de Jul*</v>
      </c>
      <c r="AK4" s="910" t="str">
        <f>+entero!AK3</f>
        <v>2011                          A  fines de Ago*</v>
      </c>
      <c r="AL4" s="910" t="str">
        <f>+entero!AL3</f>
        <v>2011                          A  fines de Sep*</v>
      </c>
      <c r="AM4" s="910" t="str">
        <f>+entero!AM3</f>
        <v>2011                          A  fines de Oct*</v>
      </c>
      <c r="AN4" s="910" t="str">
        <f>+entero!AN3</f>
        <v>2011                          A  fines de Nov*</v>
      </c>
      <c r="AO4" s="910" t="str">
        <f>+entero!AO3</f>
        <v>2011                          A  fines de Dic*</v>
      </c>
      <c r="AP4" s="910" t="str">
        <f>+entero!AP3</f>
        <v>2012                          A  fines de Ene*</v>
      </c>
      <c r="AQ4" s="910" t="str">
        <f>+entero!AQ3</f>
        <v>2012                          A  fines de Feb*</v>
      </c>
      <c r="AR4" s="910" t="str">
        <f>+entero!AR3</f>
        <v>2012                          A  fines de Mar*</v>
      </c>
      <c r="AS4" s="910" t="str">
        <f>+entero!AS3</f>
        <v>2012                          A  fines de Abr*</v>
      </c>
      <c r="AT4" s="910" t="str">
        <f>+entero!AT3</f>
        <v>2012                          A  fines de May*</v>
      </c>
      <c r="AU4" s="910" t="str">
        <f>+entero!AU3</f>
        <v>2012                          A  fines de Jun*</v>
      </c>
      <c r="AV4" s="910" t="str">
        <f>+entero!AV3</f>
        <v>2012                          A  fines de Jul*</v>
      </c>
      <c r="AW4" s="910" t="str">
        <f>+entero!AW3</f>
        <v>2012                          A  fines de Ago*</v>
      </c>
      <c r="AX4" s="910" t="str">
        <f>+entero!AX3</f>
        <v>2012                          A  fines de Sep*</v>
      </c>
      <c r="AY4" s="910" t="str">
        <f>+entero!AY3</f>
        <v>2012                          A  fines de Oct*</v>
      </c>
      <c r="AZ4" s="910" t="str">
        <f>+entero!AZ3</f>
        <v>2012                          A  fines de Nov*</v>
      </c>
      <c r="BA4" s="910" t="str">
        <f>+entero!BA3</f>
        <v>2012                          A  fines de Dic*</v>
      </c>
      <c r="BB4" s="910" t="str">
        <f>+entero!BB3</f>
        <v>2013                          A  fines de Ene*</v>
      </c>
      <c r="BC4" s="910" t="str">
        <f>+entero!BC3</f>
        <v>2013                          A  fines de Feb*</v>
      </c>
      <c r="BD4" s="910" t="str">
        <f>+entero!BD3</f>
        <v>2013                          A  fines de Mar*</v>
      </c>
      <c r="BE4" s="910" t="str">
        <f>+entero!BE3</f>
        <v>2013                          A  fines de Abr*</v>
      </c>
      <c r="BF4" s="910" t="str">
        <f>+entero!BF3</f>
        <v>2013                          A  fines de May*</v>
      </c>
      <c r="BG4" s="910" t="str">
        <f>+entero!BG3</f>
        <v>2013                          A  fines de Jun*</v>
      </c>
      <c r="BH4" s="910" t="str">
        <f>+entero!BH3</f>
        <v>2013                          A  fines de Jul*</v>
      </c>
      <c r="BI4" s="910" t="str">
        <f>+entero!BI3</f>
        <v>2013                          A  fines de Ago*</v>
      </c>
      <c r="BJ4" s="910" t="str">
        <f>+entero!BJ3</f>
        <v>2013                          A  fines de Sep*</v>
      </c>
      <c r="BK4" s="910" t="str">
        <f>+entero!BK3</f>
        <v>2013                          A  fines de Oct*</v>
      </c>
      <c r="BL4" s="910" t="str">
        <f>+entero!BL3</f>
        <v>2013                          A  fines de Nov*</v>
      </c>
      <c r="BM4" s="910" t="str">
        <f>+entero!BM3</f>
        <v>2013                          A  fines de Dic*</v>
      </c>
      <c r="BN4" s="910" t="str">
        <f>+entero!BN3</f>
        <v>2014                          A  fines de Ene*</v>
      </c>
      <c r="BO4" s="910" t="str">
        <f>+entero!BO3</f>
        <v>2014                          A  fines de Feb*</v>
      </c>
      <c r="BP4" s="910" t="str">
        <f>+entero!BP3</f>
        <v>2014                          A  fines de Mar*</v>
      </c>
      <c r="BQ4" s="910" t="str">
        <f>+entero!BQ3</f>
        <v>2014                          A  fines de Abr*</v>
      </c>
      <c r="BR4" s="910" t="str">
        <f>+entero!BR3</f>
        <v>2014                          A  fines de May*</v>
      </c>
      <c r="BS4" s="910" t="str">
        <f>+entero!BS3</f>
        <v>2014                          A  fines de Jun*</v>
      </c>
      <c r="BT4" s="910" t="str">
        <f>+entero!BT3</f>
        <v>2014                          A  fines de Jul*</v>
      </c>
      <c r="BU4" s="910" t="str">
        <f>+entero!BU3</f>
        <v>2014                          A  fines de Ago*</v>
      </c>
      <c r="BV4" s="910" t="str">
        <f>+entero!BV3</f>
        <v>2014                          A  fines de Sep*</v>
      </c>
      <c r="BW4" s="910" t="str">
        <f>+entero!BW3</f>
        <v>2014                          A  fines de Oct*</v>
      </c>
      <c r="BX4" s="910" t="str">
        <f>+entero!BX3</f>
        <v>2014                          A  fines de Nov*</v>
      </c>
      <c r="BY4" s="910" t="str">
        <f>+entero!BY3</f>
        <v>2014                          A  fines de Dic*</v>
      </c>
      <c r="BZ4" s="910" t="str">
        <f>+entero!BZ3</f>
        <v>2015                         A  fines de Ene*</v>
      </c>
      <c r="CA4" s="910" t="str">
        <f>+entero!CA3</f>
        <v>2015                         A  fines de Feb*</v>
      </c>
      <c r="CB4" s="910" t="str">
        <f>+entero!CB3</f>
        <v>2015                         A  fines de Mar*</v>
      </c>
      <c r="CC4" s="910" t="str">
        <f>+entero!CC3</f>
        <v xml:space="preserve">2015                         A  fines de Abr* </v>
      </c>
      <c r="CD4" s="910" t="str">
        <f>+entero!CD3</f>
        <v xml:space="preserve">2015                         A  fines de May* </v>
      </c>
      <c r="CE4" s="910" t="str">
        <f>+entero!CE3</f>
        <v xml:space="preserve">2015                         A  fines de Jun* </v>
      </c>
      <c r="CF4" s="910" t="str">
        <f>+entero!CF3</f>
        <v xml:space="preserve">2015                         A  fines de Jul* </v>
      </c>
      <c r="CG4" s="910" t="str">
        <f>+entero!CG3</f>
        <v xml:space="preserve">2015                         A  fines de Ago* </v>
      </c>
      <c r="CH4" s="910" t="str">
        <f>+entero!CH3</f>
        <v xml:space="preserve">2015                         A  fines de Sep* </v>
      </c>
      <c r="CI4" s="910" t="str">
        <f>+entero!CI3</f>
        <v xml:space="preserve">2015                         A  fines de Oct* </v>
      </c>
      <c r="CJ4" s="910" t="str">
        <f>+entero!CJ3</f>
        <v xml:space="preserve">2015                         A  fines de Nov* </v>
      </c>
      <c r="CK4" s="910" t="str">
        <f>+entero!CK3</f>
        <v xml:space="preserve">2015                         A  fines de Dic* </v>
      </c>
      <c r="CL4" s="910" t="str">
        <f>+entero!CL3</f>
        <v xml:space="preserve">2016                         A  fines de Ene* </v>
      </c>
      <c r="CM4" s="910" t="str">
        <f>+entero!CM3</f>
        <v xml:space="preserve">2016                         A  fines de Feb* </v>
      </c>
      <c r="CN4" s="910" t="str">
        <f>+entero!CN3</f>
        <v xml:space="preserve">2016                         A  fines de Mar* </v>
      </c>
      <c r="CO4" s="910" t="str">
        <f>+entero!CO3</f>
        <v xml:space="preserve">2016                         A  fines de Abr* </v>
      </c>
      <c r="CP4" s="910" t="str">
        <f>+entero!CP3</f>
        <v xml:space="preserve">2016                         A  fines de May* </v>
      </c>
      <c r="CQ4" s="910" t="str">
        <f>+entero!CQ3</f>
        <v xml:space="preserve">2016                         A  fines de Jun* </v>
      </c>
      <c r="CR4" s="910" t="str">
        <f>+entero!CR3</f>
        <v xml:space="preserve">2016                         A  fines de Jul* </v>
      </c>
      <c r="CS4" s="910" t="str">
        <f>+entero!CS3</f>
        <v xml:space="preserve">2016                         A  fines de Ago* </v>
      </c>
      <c r="CT4" s="910" t="str">
        <f>+entero!CT3</f>
        <v xml:space="preserve">2016                         A  fines de Sep* </v>
      </c>
      <c r="CU4" s="910" t="str">
        <f>+entero!CU3</f>
        <v xml:space="preserve">2016                         A  fines de Oct* </v>
      </c>
      <c r="CV4" s="910" t="str">
        <f>+entero!CV3</f>
        <v xml:space="preserve">2016                         A  fines de Nov* </v>
      </c>
      <c r="CW4" s="910" t="str">
        <f>+entero!CW3</f>
        <v>2016                         A  fines de Dic* 15</v>
      </c>
      <c r="CX4" s="910" t="str">
        <f>+entero!CX3</f>
        <v xml:space="preserve">2017                         A  fines de Ene* </v>
      </c>
      <c r="CY4" s="910" t="str">
        <f>+entero!CY3</f>
        <v xml:space="preserve">2017                         A  fines de Feb* </v>
      </c>
      <c r="CZ4" s="910" t="str">
        <f>+entero!CZ3</f>
        <v xml:space="preserve">2017                         A  fines de Mar* </v>
      </c>
      <c r="DA4" s="910" t="str">
        <f>+entero!DA3</f>
        <v xml:space="preserve">2017                         A  fines de Abr* </v>
      </c>
      <c r="DB4" s="910" t="str">
        <f>+entero!DB3</f>
        <v xml:space="preserve">2017                         A  fines de May* </v>
      </c>
      <c r="DC4" s="910" t="str">
        <f>+entero!DC3</f>
        <v xml:space="preserve">2017                         A  fines de Jun* </v>
      </c>
      <c r="DD4" s="910" t="str">
        <f>+entero!DD3</f>
        <v xml:space="preserve">2017                         A  fines de Jul* </v>
      </c>
      <c r="DE4" s="917" t="str">
        <f>+entero!DE3</f>
        <v>Semana 1°</v>
      </c>
      <c r="DF4" s="917" t="str">
        <f>+entero!DF3</f>
        <v>Semana 2°</v>
      </c>
      <c r="DG4" s="917" t="str">
        <f>+entero!DG3</f>
        <v>Semana 3°</v>
      </c>
      <c r="DH4" s="917" t="str">
        <f>+entero!DH3</f>
        <v>Semana 4°</v>
      </c>
      <c r="DI4" s="919" t="str">
        <f>+entero!DI3</f>
        <v>Semana 5°</v>
      </c>
      <c r="DJ4" s="920"/>
      <c r="DK4" s="920"/>
      <c r="DL4" s="920"/>
      <c r="DM4" s="921"/>
      <c r="DN4" s="915" t="s">
        <v>27</v>
      </c>
      <c r="DO4" s="916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3">
      <c r="C5" s="20"/>
      <c r="D5" s="914"/>
      <c r="E5" s="913"/>
      <c r="F5" s="913"/>
      <c r="G5" s="913"/>
      <c r="H5" s="913"/>
      <c r="I5" s="913"/>
      <c r="J5" s="913"/>
      <c r="K5" s="913"/>
      <c r="L5" s="913"/>
      <c r="M5" s="913"/>
      <c r="N5" s="913"/>
      <c r="O5" s="913"/>
      <c r="P5" s="913"/>
      <c r="Q5" s="913"/>
      <c r="R5" s="913"/>
      <c r="S5" s="913"/>
      <c r="T5" s="913"/>
      <c r="U5" s="913"/>
      <c r="V5" s="913"/>
      <c r="W5" s="913"/>
      <c r="X5" s="913"/>
      <c r="Y5" s="913"/>
      <c r="Z5" s="913"/>
      <c r="AA5" s="913"/>
      <c r="AB5" s="913"/>
      <c r="AC5" s="913"/>
      <c r="AD5" s="913"/>
      <c r="AE5" s="913"/>
      <c r="AF5" s="913"/>
      <c r="AG5" s="913"/>
      <c r="AH5" s="913"/>
      <c r="AI5" s="913"/>
      <c r="AJ5" s="913"/>
      <c r="AK5" s="913"/>
      <c r="AL5" s="913"/>
      <c r="AM5" s="913"/>
      <c r="AN5" s="913"/>
      <c r="AO5" s="913"/>
      <c r="AP5" s="913"/>
      <c r="AQ5" s="913"/>
      <c r="AR5" s="913"/>
      <c r="AS5" s="913"/>
      <c r="AT5" s="913"/>
      <c r="AU5" s="913"/>
      <c r="AV5" s="913"/>
      <c r="AW5" s="913"/>
      <c r="AX5" s="913"/>
      <c r="AY5" s="913"/>
      <c r="AZ5" s="913"/>
      <c r="BA5" s="913"/>
      <c r="BB5" s="913"/>
      <c r="BC5" s="913"/>
      <c r="BD5" s="913"/>
      <c r="BE5" s="913"/>
      <c r="BF5" s="913"/>
      <c r="BG5" s="913"/>
      <c r="BH5" s="913"/>
      <c r="BI5" s="913"/>
      <c r="BJ5" s="913"/>
      <c r="BK5" s="913"/>
      <c r="BL5" s="913"/>
      <c r="BM5" s="913"/>
      <c r="BN5" s="913"/>
      <c r="BO5" s="913"/>
      <c r="BP5" s="913"/>
      <c r="BQ5" s="913"/>
      <c r="BR5" s="913"/>
      <c r="BS5" s="913"/>
      <c r="BT5" s="913"/>
      <c r="BU5" s="913"/>
      <c r="BV5" s="913"/>
      <c r="BW5" s="913"/>
      <c r="BX5" s="913"/>
      <c r="BY5" s="913"/>
      <c r="BZ5" s="913"/>
      <c r="CA5" s="913"/>
      <c r="CB5" s="913"/>
      <c r="CC5" s="913"/>
      <c r="CD5" s="913"/>
      <c r="CE5" s="913"/>
      <c r="CF5" s="913"/>
      <c r="CG5" s="913"/>
      <c r="CH5" s="913"/>
      <c r="CI5" s="913"/>
      <c r="CJ5" s="913"/>
      <c r="CK5" s="913"/>
      <c r="CL5" s="913"/>
      <c r="CM5" s="913"/>
      <c r="CN5" s="913"/>
      <c r="CO5" s="913"/>
      <c r="CP5" s="913"/>
      <c r="CQ5" s="913"/>
      <c r="CR5" s="913"/>
      <c r="CS5" s="913"/>
      <c r="CT5" s="913"/>
      <c r="CU5" s="913"/>
      <c r="CV5" s="913"/>
      <c r="CW5" s="913"/>
      <c r="CX5" s="913"/>
      <c r="CY5" s="913"/>
      <c r="CZ5" s="913"/>
      <c r="DA5" s="913"/>
      <c r="DB5" s="913"/>
      <c r="DC5" s="913"/>
      <c r="DD5" s="913"/>
      <c r="DE5" s="918"/>
      <c r="DF5" s="918"/>
      <c r="DG5" s="918"/>
      <c r="DH5" s="918"/>
      <c r="DI5" s="869">
        <f>+entero!DI4</f>
        <v>42975</v>
      </c>
      <c r="DJ5" s="861">
        <f>+entero!DJ4</f>
        <v>42976</v>
      </c>
      <c r="DK5" s="861">
        <f>+entero!DK4</f>
        <v>42977</v>
      </c>
      <c r="DL5" s="861">
        <f>+entero!DL4</f>
        <v>42978</v>
      </c>
      <c r="DM5" s="861">
        <f>+entero!DM4</f>
        <v>42979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5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92"/>
      <c r="DI6" s="889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5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22">
        <f>+entero!DH7</f>
        <v>10427.930994279999</v>
      </c>
      <c r="DI7" s="531">
        <f>+entero!DI7</f>
        <v>10436.79159097</v>
      </c>
      <c r="DJ7" s="532">
        <f>+entero!DJ7</f>
        <v>10495.693414650001</v>
      </c>
      <c r="DK7" s="532">
        <f>+entero!DK7</f>
        <v>10488.357355220003</v>
      </c>
      <c r="DL7" s="532">
        <f>+entero!DL7</f>
        <v>10452.235888740001</v>
      </c>
      <c r="DM7" s="532">
        <f>+entero!DM7</f>
        <v>10444.413440850001</v>
      </c>
      <c r="DN7" s="531">
        <f>+entero!DN7</f>
        <v>16.482446570002139</v>
      </c>
      <c r="DO7" s="566">
        <f>+entero!DO7</f>
        <v>0.15806056425808901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5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22">
        <f>+entero!DH8</f>
        <v>8388.4913004200007</v>
      </c>
      <c r="DI8" s="531">
        <f>+entero!DI8</f>
        <v>8390.1885554699984</v>
      </c>
      <c r="DJ8" s="532">
        <f>+entero!DJ8</f>
        <v>8419.4911773900003</v>
      </c>
      <c r="DK8" s="532">
        <f>+entero!DK8</f>
        <v>8415.0642428300016</v>
      </c>
      <c r="DL8" s="532">
        <f>+entero!DL8</f>
        <v>8380.7059343500005</v>
      </c>
      <c r="DM8" s="532">
        <f>+entero!DM8</f>
        <v>8353.7473356900009</v>
      </c>
      <c r="DN8" s="531">
        <f>+entero!DN8</f>
        <v>-34.743964729999789</v>
      </c>
      <c r="DO8" s="566">
        <f>+entero!DO8</f>
        <v>-0.41418609718603117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5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22">
        <f>+entero!DH9</f>
        <v>235.16105768</v>
      </c>
      <c r="DI9" s="531">
        <f>+entero!DI9</f>
        <v>235.31612651999998</v>
      </c>
      <c r="DJ9" s="532">
        <f>+entero!DJ9</f>
        <v>236.37326246000001</v>
      </c>
      <c r="DK9" s="532">
        <f>+entero!DK9</f>
        <v>237.2586555</v>
      </c>
      <c r="DL9" s="532">
        <f>+entero!DL9</f>
        <v>236.58927219</v>
      </c>
      <c r="DM9" s="532">
        <f>+entero!DM9</f>
        <v>235.78020040000001</v>
      </c>
      <c r="DN9" s="531">
        <f>+entero!DN9</f>
        <v>0.61914272000001347</v>
      </c>
      <c r="DO9" s="566">
        <f>+entero!DO9</f>
        <v>0.2632845446896015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5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22">
        <f>+entero!DH10</f>
        <v>1767.5744826799998</v>
      </c>
      <c r="DI10" s="531">
        <f>+entero!DI10</f>
        <v>1774.55855219</v>
      </c>
      <c r="DJ10" s="532">
        <f>+entero!DJ10</f>
        <v>1802.9356192600001</v>
      </c>
      <c r="DK10" s="532">
        <f>+entero!DK10</f>
        <v>1799.0029084</v>
      </c>
      <c r="DL10" s="532">
        <f>+entero!DL10</f>
        <v>1798.01992251</v>
      </c>
      <c r="DM10" s="532">
        <f>+entero!DM10</f>
        <v>1818.09140415</v>
      </c>
      <c r="DN10" s="531">
        <f>+entero!DN10</f>
        <v>50.51692147000017</v>
      </c>
      <c r="DO10" s="566">
        <f>+entero!DO10</f>
        <v>2.8579797889708436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5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22">
        <f>+entero!DH11</f>
        <v>36.704153500000004</v>
      </c>
      <c r="DI11" s="531">
        <f>+entero!DI11</f>
        <v>36.728356789999999</v>
      </c>
      <c r="DJ11" s="532">
        <f>+entero!DJ11</f>
        <v>36.893355539999995</v>
      </c>
      <c r="DK11" s="532">
        <f>+entero!DK11</f>
        <v>37.031548489999999</v>
      </c>
      <c r="DL11" s="532">
        <f>+entero!DL11</f>
        <v>36.920759689999997</v>
      </c>
      <c r="DM11" s="532">
        <f>+entero!DM11</f>
        <v>36.79450061</v>
      </c>
      <c r="DN11" s="531">
        <f>+entero!DN11</f>
        <v>9.0347109999996178E-2</v>
      </c>
      <c r="DO11" s="566">
        <f>+entero!DO11</f>
        <v>0.24614955361930146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5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22">
        <f>+entero!DH12</f>
        <v>10427.929736669999</v>
      </c>
      <c r="DI12" s="531">
        <f>+entero!DI12</f>
        <v>10436.790333359999</v>
      </c>
      <c r="DJ12" s="532">
        <f>+entero!DJ12</f>
        <v>10495.692157039999</v>
      </c>
      <c r="DK12" s="532">
        <f>+entero!DK12</f>
        <v>10488.313087610002</v>
      </c>
      <c r="DL12" s="532">
        <f>+entero!DL12</f>
        <v>10452.191524710001</v>
      </c>
      <c r="DM12" s="532">
        <f>+entero!DM12</f>
        <v>10444.368996950001</v>
      </c>
      <c r="DN12" s="531">
        <f>+entero!DN12</f>
        <v>16.43926028000169</v>
      </c>
      <c r="DO12" s="566">
        <f>+entero!DO12</f>
        <v>0.15764644272766581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5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22">
        <f>+entero!DH13</f>
        <v>2457.7141042580174</v>
      </c>
      <c r="DI13" s="531">
        <f>+entero!DI13</f>
        <v>2428.7361332201162</v>
      </c>
      <c r="DJ13" s="532">
        <f>+entero!DJ13</f>
        <v>2402.5580580247815</v>
      </c>
      <c r="DK13" s="532">
        <f>+entero!DK13</f>
        <v>2395.6998752274048</v>
      </c>
      <c r="DL13" s="532">
        <f>+entero!DL13</f>
        <v>2389.2932448935862</v>
      </c>
      <c r="DM13" s="532">
        <f>+entero!DM13</f>
        <v>2405.902997895043</v>
      </c>
      <c r="DN13" s="531">
        <f>+entero!DN13</f>
        <v>-51.811106362974442</v>
      </c>
      <c r="DO13" s="566">
        <f>+entero!DO13</f>
        <v>-2.1081014375598506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5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22">
        <f>+entero!DH14</f>
        <v>1445.3862696699998</v>
      </c>
      <c r="DI14" s="531">
        <f>+entero!DI14</f>
        <v>1445.4778819900002</v>
      </c>
      <c r="DJ14" s="532">
        <f>+entero!DJ14</f>
        <v>1437.8512062900002</v>
      </c>
      <c r="DK14" s="532">
        <f>+entero!DK14</f>
        <v>1437.9104343000001</v>
      </c>
      <c r="DL14" s="532">
        <f>+entero!DL14</f>
        <v>1437.7932687599998</v>
      </c>
      <c r="DM14" s="532">
        <f>+entero!DM14</f>
        <v>1437.8627392400001</v>
      </c>
      <c r="DN14" s="531">
        <f>+entero!DN14</f>
        <v>-7.5235304299997097</v>
      </c>
      <c r="DO14" s="566">
        <f>+entero!DO14</f>
        <v>-0.52052040259918941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5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22">
        <f>+entero!DH15</f>
        <v>605.89159290240002</v>
      </c>
      <c r="DI15" s="531">
        <f>+entero!DI15</f>
        <v>605.94402499429998</v>
      </c>
      <c r="DJ15" s="532">
        <f>+entero!DJ15</f>
        <v>588.51315810129995</v>
      </c>
      <c r="DK15" s="532">
        <f>+entero!DK15</f>
        <v>588.53808141900004</v>
      </c>
      <c r="DL15" s="532">
        <f>+entero!DL15</f>
        <v>588.56301455690004</v>
      </c>
      <c r="DM15" s="532">
        <f>+entero!DM15</f>
        <v>588.58795156969995</v>
      </c>
      <c r="DN15" s="531">
        <f>+entero!DN15</f>
        <v>-17.303641332700067</v>
      </c>
      <c r="DO15" s="566">
        <f>+entero!DO15</f>
        <v>-2.8558972488478496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5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22">
        <f>+entero!DH16</f>
        <v>733.91637033625</v>
      </c>
      <c r="DI16" s="531">
        <f>+entero!DI16</f>
        <v>733.9787880857001</v>
      </c>
      <c r="DJ16" s="532">
        <f>+entero!DJ16</f>
        <v>734.03021082974999</v>
      </c>
      <c r="DK16" s="532">
        <f>+entero!DK16</f>
        <v>734.06103656699997</v>
      </c>
      <c r="DL16" s="532">
        <f>+entero!DL16</f>
        <v>734.09019755690008</v>
      </c>
      <c r="DM16" s="532">
        <f>+entero!DM16</f>
        <v>734.11930969485002</v>
      </c>
      <c r="DN16" s="531">
        <f>+entero!DN16</f>
        <v>0.20293935860001966</v>
      </c>
      <c r="DO16" s="566">
        <f>+entero!DO16</f>
        <v>2.7651564510966509E-2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5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22">
        <f>+entero!DH17</f>
        <v>14225.451804166667</v>
      </c>
      <c r="DI17" s="531">
        <f>+entero!DI17</f>
        <v>14205.449279660115</v>
      </c>
      <c r="DJ17" s="532">
        <f>+entero!DJ17</f>
        <v>14220.79358399583</v>
      </c>
      <c r="DK17" s="532">
        <f>+entero!DK17</f>
        <v>14206.612080823406</v>
      </c>
      <c r="DL17" s="532">
        <f>+entero!DL17</f>
        <v>14164.137981717386</v>
      </c>
      <c r="DM17" s="532">
        <f>+entero!DM17</f>
        <v>14172.979256109593</v>
      </c>
      <c r="DN17" s="531">
        <f>+entero!DN17</f>
        <v>-52.472548057074164</v>
      </c>
      <c r="DO17" s="566">
        <f>+entero!DO17</f>
        <v>-0.3688638419322765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5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5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5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5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5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22">
        <f>+entero!DH22</f>
        <v>0</v>
      </c>
      <c r="DI22" s="531">
        <f>+entero!DI22</f>
        <v>10</v>
      </c>
      <c r="DJ22" s="532">
        <f>+entero!DJ22</f>
        <v>5</v>
      </c>
      <c r="DK22" s="532">
        <f>+entero!DK22</f>
        <v>0.2</v>
      </c>
      <c r="DL22" s="532">
        <f>+entero!DL22</f>
        <v>5</v>
      </c>
      <c r="DM22" s="532">
        <f>+entero!DM22</f>
        <v>0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8" thickBot="1" x14ac:dyDescent="0.3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42985.735737152776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3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5.6" x14ac:dyDescent="0.3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3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3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ht="13.8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ht="13.8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ht="13.8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ht="13.8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ht="13.8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ht="13.8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ht="13.8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ht="13.8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ht="13.8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ht="13.8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ht="13.8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ht="13.8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DE4:DE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H4:DH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7" width="9.44140625" customWidth="1"/>
    <col min="118" max="118" width="9.33203125" customWidth="1"/>
    <col min="119" max="119" width="9.88671875" customWidth="1"/>
    <col min="120" max="132" width="11.44140625" style="200"/>
  </cols>
  <sheetData>
    <row r="1" spans="1:130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+entero!CT3</f>
        <v xml:space="preserve">2016                         A  fines de Sep* </v>
      </c>
      <c r="CU3" s="910" t="str">
        <f>+entero!CU3</f>
        <v xml:space="preserve">2016                         A  fines de Oct* </v>
      </c>
      <c r="CV3" s="910" t="str">
        <f>+entero!CV3</f>
        <v xml:space="preserve">2016                         A  fines de Nov* </v>
      </c>
      <c r="CW3" s="910" t="str">
        <f>+entero!CW3</f>
        <v>2016                         A  fines de Dic* 15</v>
      </c>
      <c r="CX3" s="910" t="str">
        <f>+entero!CX3</f>
        <v xml:space="preserve">2017                         A  fines de Ene* </v>
      </c>
      <c r="CY3" s="910" t="str">
        <f>+entero!CY3</f>
        <v xml:space="preserve">2017                         A  fines de Feb* </v>
      </c>
      <c r="CZ3" s="910" t="str">
        <f>+entero!CZ3</f>
        <v xml:space="preserve">2017                         A  fines de Mar* </v>
      </c>
      <c r="DA3" s="910" t="str">
        <f>+entero!DA3</f>
        <v xml:space="preserve">2017                         A  fines de Abr* </v>
      </c>
      <c r="DB3" s="910" t="str">
        <f>+entero!DB3</f>
        <v xml:space="preserve">2017                         A  fines de May* </v>
      </c>
      <c r="DC3" s="910" t="str">
        <f>+entero!DC3</f>
        <v xml:space="preserve">2017                         A  fines de Jun* </v>
      </c>
      <c r="DD3" s="910" t="str">
        <f>+entero!DD3</f>
        <v xml:space="preserve">2017                         A  fines de Jul* </v>
      </c>
      <c r="DE3" s="917" t="str">
        <f>+entero!DE3</f>
        <v>Semana 1°</v>
      </c>
      <c r="DF3" s="917" t="str">
        <f>+entero!DF3</f>
        <v>Semana 2°</v>
      </c>
      <c r="DG3" s="917" t="str">
        <f>+entero!DG3</f>
        <v>Semana 3°</v>
      </c>
      <c r="DH3" s="917" t="str">
        <f>+entero!DH3</f>
        <v>Semana 4°</v>
      </c>
      <c r="DI3" s="919" t="str">
        <f>+entero!DI3</f>
        <v>Semana 5°</v>
      </c>
      <c r="DJ3" s="920"/>
      <c r="DK3" s="920"/>
      <c r="DL3" s="920"/>
      <c r="DM3" s="921"/>
      <c r="DN3" s="915" t="s">
        <v>27</v>
      </c>
      <c r="DO3" s="9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3">
      <c r="C4" s="20"/>
      <c r="D4" s="92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3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3"/>
      <c r="BM4" s="913"/>
      <c r="BN4" s="913"/>
      <c r="BO4" s="913"/>
      <c r="BP4" s="913"/>
      <c r="BQ4" s="913"/>
      <c r="BR4" s="913"/>
      <c r="BS4" s="913"/>
      <c r="BT4" s="913"/>
      <c r="BU4" s="913"/>
      <c r="BV4" s="913"/>
      <c r="BW4" s="913"/>
      <c r="BX4" s="913"/>
      <c r="BY4" s="913"/>
      <c r="BZ4" s="913"/>
      <c r="CA4" s="913"/>
      <c r="CB4" s="913"/>
      <c r="CC4" s="913"/>
      <c r="CD4" s="913"/>
      <c r="CE4" s="913"/>
      <c r="CF4" s="913"/>
      <c r="CG4" s="913"/>
      <c r="CH4" s="913"/>
      <c r="CI4" s="913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913"/>
      <c r="CZ4" s="913"/>
      <c r="DA4" s="913"/>
      <c r="DB4" s="913"/>
      <c r="DC4" s="913"/>
      <c r="DD4" s="913"/>
      <c r="DE4" s="918"/>
      <c r="DF4" s="918"/>
      <c r="DG4" s="918"/>
      <c r="DH4" s="918"/>
      <c r="DI4" s="860">
        <f>+entero!DI4</f>
        <v>42975</v>
      </c>
      <c r="DJ4" s="860">
        <f>+entero!DJ4</f>
        <v>42976</v>
      </c>
      <c r="DK4" s="860">
        <f>+entero!DK4</f>
        <v>42977</v>
      </c>
      <c r="DL4" s="860">
        <f>+entero!DL4</f>
        <v>42978</v>
      </c>
      <c r="DM4" s="860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8" x14ac:dyDescent="0.3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5">
      <c r="A6" s="3"/>
      <c r="B6" s="90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530">
        <f>+entero!DH24</f>
        <v>58891.75231276454</v>
      </c>
      <c r="DI6" s="815">
        <f>+entero!DI24</f>
        <v>59339.13359270597</v>
      </c>
      <c r="DJ6" s="815">
        <f>+entero!DJ24</f>
        <v>58595.178058172183</v>
      </c>
      <c r="DK6" s="815">
        <f>+entero!DK24</f>
        <v>58573.242351338587</v>
      </c>
      <c r="DL6" s="815">
        <f>+entero!DL24</f>
        <v>59464.875018305596</v>
      </c>
      <c r="DM6" s="815">
        <f>+entero!DM24</f>
        <v>60840.979659488141</v>
      </c>
      <c r="DN6" s="814">
        <f>+entero!DN24</f>
        <v>1949.2273467236009</v>
      </c>
      <c r="DO6" s="835">
        <f>+entero!DO24</f>
        <v>3.3098477633533019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5">
      <c r="A7" s="3"/>
      <c r="B7" s="90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530">
        <f>+entero!DH25</f>
        <v>40966.954748309996</v>
      </c>
      <c r="DI7" s="815">
        <f>+entero!DI25</f>
        <v>40959.869937809999</v>
      </c>
      <c r="DJ7" s="815">
        <f>+entero!DJ25</f>
        <v>40921.763613210001</v>
      </c>
      <c r="DK7" s="815">
        <f>+entero!DK25</f>
        <v>40867.184950410003</v>
      </c>
      <c r="DL7" s="815">
        <f>+entero!DL25</f>
        <v>40841.309307910007</v>
      </c>
      <c r="DM7" s="815">
        <f>+entero!DM25</f>
        <v>40949.641623110001</v>
      </c>
      <c r="DN7" s="814">
        <f>+entero!DN25</f>
        <v>-17.313125199994829</v>
      </c>
      <c r="DO7" s="835">
        <f>+entero!DO25</f>
        <v>-4.2261196387094468E-2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5">
      <c r="A8" s="3"/>
      <c r="B8" s="90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530">
        <f>+entero!DH26</f>
        <v>-30568.643245326457</v>
      </c>
      <c r="DI8" s="815">
        <f>+entero!DI26</f>
        <v>-30636.511749227448</v>
      </c>
      <c r="DJ8" s="815">
        <f>+entero!DJ26</f>
        <v>-31078.684584191047</v>
      </c>
      <c r="DK8" s="815">
        <f>+entero!DK26</f>
        <v>-31082.642830740911</v>
      </c>
      <c r="DL8" s="815">
        <f>+entero!DL26</f>
        <v>-30860.724551664298</v>
      </c>
      <c r="DM8" s="815">
        <f>+entero!DM26</f>
        <v>-30698.729696106318</v>
      </c>
      <c r="DN8" s="814">
        <f>+entero!DN26</f>
        <v>-130.08645077986148</v>
      </c>
      <c r="DO8" s="835">
        <f>+entero!DO26</f>
        <v>0.42555519960720822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5">
      <c r="A9" s="3"/>
      <c r="B9" s="90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530">
        <f>+entero!DH27</f>
        <v>-12782.195526054535</v>
      </c>
      <c r="DI9" s="815">
        <f>+entero!DI27</f>
        <v>-12254.70482186622</v>
      </c>
      <c r="DJ9" s="815">
        <f>+entero!DJ27</f>
        <v>-13102.786651295504</v>
      </c>
      <c r="DK9" s="815">
        <f>+entero!DK27</f>
        <v>-13096.051294956731</v>
      </c>
      <c r="DL9" s="815">
        <f>+entero!DL27</f>
        <v>-12367.107188315655</v>
      </c>
      <c r="DM9" s="815">
        <f>+entero!DM27</f>
        <v>-10260.76266594807</v>
      </c>
      <c r="DN9" s="814">
        <f>+entero!DN27</f>
        <v>2521.4328601064644</v>
      </c>
      <c r="DO9" s="835">
        <f>+entero!DO27</f>
        <v>-19.726132767777749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5">
      <c r="A10" s="3"/>
      <c r="B10" s="90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530">
        <f>+entero!DH28</f>
        <v>7126.8448109733999</v>
      </c>
      <c r="DI10" s="815">
        <f>+entero!DI28</f>
        <v>7127.2397977946002</v>
      </c>
      <c r="DJ10" s="815">
        <f>+entero!DJ28</f>
        <v>7127.2811073896</v>
      </c>
      <c r="DK10" s="815">
        <f>+entero!DK28</f>
        <v>7127.2756491563996</v>
      </c>
      <c r="DL10" s="815">
        <f>+entero!DL28</f>
        <v>7451.6532210639998</v>
      </c>
      <c r="DM10" s="815">
        <f>+entero!DM28</f>
        <v>7282.476207213399</v>
      </c>
      <c r="DN10" s="814">
        <f>+entero!DN28</f>
        <v>155.63139623999905</v>
      </c>
      <c r="DO10" s="835">
        <f>+entero!DO28</f>
        <v>2.1837348836383885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8" x14ac:dyDescent="0.25">
      <c r="A11" s="3"/>
      <c r="B11" s="90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5">
      <c r="A12" s="3"/>
      <c r="B12" s="90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530">
        <f>+entero!DH30</f>
        <v>66516.9823827941</v>
      </c>
      <c r="DI12" s="815">
        <f>+entero!DI30</f>
        <v>66533.643010314117</v>
      </c>
      <c r="DJ12" s="815">
        <f>+entero!DJ30</f>
        <v>66589.523791144107</v>
      </c>
      <c r="DK12" s="815">
        <f>+entero!DK30</f>
        <v>66589.879504024095</v>
      </c>
      <c r="DL12" s="815">
        <f>+entero!DL30</f>
        <v>66880.152161504113</v>
      </c>
      <c r="DM12" s="815">
        <f>+entero!DM30</f>
        <v>67859.590582994104</v>
      </c>
      <c r="DN12" s="814">
        <f>+entero!DN30</f>
        <v>1342.6082002000039</v>
      </c>
      <c r="DO12" s="835">
        <f>+entero!DO30</f>
        <v>2.0184442410112968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5">
      <c r="A13" s="3"/>
      <c r="B13" s="90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530">
        <f>+entero!DH31</f>
        <v>115305.65675868536</v>
      </c>
      <c r="DI13" s="815">
        <f>+entero!DI31</f>
        <v>115197.06471525537</v>
      </c>
      <c r="DJ13" s="815">
        <f>+entero!DJ31</f>
        <v>115374.90948692539</v>
      </c>
      <c r="DK13" s="815">
        <f>+entero!DK31</f>
        <v>115769.79075452535</v>
      </c>
      <c r="DL13" s="815">
        <f>+entero!DL31</f>
        <v>116485.04609415538</v>
      </c>
      <c r="DM13" s="815">
        <f>+entero!DM31</f>
        <v>118033.74281454537</v>
      </c>
      <c r="DN13" s="814">
        <f>+entero!DN31</f>
        <v>2728.0860558600107</v>
      </c>
      <c r="DO13" s="835">
        <f>+entero!DO31</f>
        <v>2.365960294185232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5">
      <c r="A14" s="3"/>
      <c r="B14" s="90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530">
        <f>+entero!DH32</f>
        <v>192883.07492700295</v>
      </c>
      <c r="DI14" s="815">
        <f>+entero!DI32</f>
        <v>192773.65502802294</v>
      </c>
      <c r="DJ14" s="815">
        <f>+entero!DJ32</f>
        <v>193071.87699018294</v>
      </c>
      <c r="DK14" s="815">
        <f>+entero!DK32</f>
        <v>193468.39433380292</v>
      </c>
      <c r="DL14" s="815">
        <f>+entero!DL32</f>
        <v>194414.84970891295</v>
      </c>
      <c r="DM14" s="815">
        <f>+entero!DM32</f>
        <v>195846.05374081293</v>
      </c>
      <c r="DN14" s="814">
        <f>+entero!DN32</f>
        <v>2962.978813809983</v>
      </c>
      <c r="DO14" s="835">
        <f>+entero!DO32</f>
        <v>1.5361528298588834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5">
      <c r="A15" s="3"/>
      <c r="B15" s="9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5">
      <c r="A16" s="3"/>
      <c r="B16" s="90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534">
        <f>+entero!DH34</f>
        <v>89.388502446983892</v>
      </c>
      <c r="DI16" s="822">
        <f>+entero!DI34</f>
        <v>89.380468886086646</v>
      </c>
      <c r="DJ16" s="822">
        <f>+entero!DJ34</f>
        <v>89.356122109611832</v>
      </c>
      <c r="DK16" s="822">
        <f>+entero!DK34</f>
        <v>89.346091066478621</v>
      </c>
      <c r="DL16" s="822">
        <f>+entero!DL34</f>
        <v>89.361437103703594</v>
      </c>
      <c r="DM16" s="822">
        <f>+entero!DM34</f>
        <v>89.175994981185369</v>
      </c>
      <c r="DN16" s="821">
        <f>+entero!DN34</f>
        <v>-0.21250746579852375</v>
      </c>
      <c r="DO16" s="823">
        <f>+entero!DO34</f>
        <v>-0.23773467502105072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5">
      <c r="A17" s="3"/>
      <c r="B17" s="90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534">
        <f>+entero!DH35</f>
        <v>83.852172168343145</v>
      </c>
      <c r="DI17" s="822">
        <f>+entero!DI35</f>
        <v>83.861917580837613</v>
      </c>
      <c r="DJ17" s="822">
        <f>+entero!DJ35</f>
        <v>83.878374586147274</v>
      </c>
      <c r="DK17" s="822">
        <f>+entero!DK35</f>
        <v>83.902672890867905</v>
      </c>
      <c r="DL17" s="822">
        <f>+entero!DL35</f>
        <v>83.954506415067215</v>
      </c>
      <c r="DM17" s="822">
        <f>+entero!DM35</f>
        <v>83.991956647522926</v>
      </c>
      <c r="DN17" s="821">
        <f>+entero!DN35</f>
        <v>0.13978447917978087</v>
      </c>
      <c r="DO17" s="823">
        <f>+entero!DO35</f>
        <v>0.16670346821683335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8" thickBot="1" x14ac:dyDescent="0.3">
      <c r="A18" s="3"/>
      <c r="B18" s="90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536">
        <f>+entero!DH36</f>
        <v>87.810246617231599</v>
      </c>
      <c r="DI18" s="851">
        <f>+entero!DI36</f>
        <v>87.821787855524491</v>
      </c>
      <c r="DJ18" s="851">
        <f>+entero!DJ36</f>
        <v>87.815107480263293</v>
      </c>
      <c r="DK18" s="851">
        <f>+entero!DK36</f>
        <v>87.809384228227273</v>
      </c>
      <c r="DL18" s="851">
        <f>+entero!DL36</f>
        <v>87.839525500860887</v>
      </c>
      <c r="DM18" s="851">
        <f>+entero!DM36</f>
        <v>87.865015946696417</v>
      </c>
      <c r="DN18" s="824">
        <f>+entero!DN36</f>
        <v>5.4769329464818384E-2</v>
      </c>
      <c r="DO18" s="825">
        <f>+entero!DO36</f>
        <v>6.237236720625372E-2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3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3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8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5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3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3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ht="13.8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ht="13.8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ht="13.8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ht="13.8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ht="13.8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ht="13.8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ht="13.8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ht="13.8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ht="13.8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ht="13.8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ht="13.8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ht="13.8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ht="13.8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ht="13.8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ht="13.8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ht="13.8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ht="13.8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ht="13.8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ht="13.8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DD3:DD4"/>
    <mergeCell ref="DA3:DA4"/>
    <mergeCell ref="CZ3:CZ4"/>
    <mergeCell ref="DE3:DE4"/>
    <mergeCell ref="DF3:DF4"/>
    <mergeCell ref="DI3:DM3"/>
    <mergeCell ref="DC3:DC4"/>
    <mergeCell ref="CT3:CT4"/>
    <mergeCell ref="CU3:CU4"/>
    <mergeCell ref="DH3:DH4"/>
    <mergeCell ref="CX3:CX4"/>
    <mergeCell ref="DB3:DB4"/>
    <mergeCell ref="CY3:CY4"/>
    <mergeCell ref="DG3:DG4"/>
    <mergeCell ref="CV3:CV4"/>
    <mergeCell ref="CW3:CW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4" width="8.88671875" customWidth="1"/>
    <col min="115" max="117" width="9.44140625" customWidth="1"/>
    <col min="118" max="118" width="8.33203125" customWidth="1"/>
    <col min="119" max="119" width="10.109375" customWidth="1"/>
    <col min="121" max="130" width="11.44140625" style="200"/>
  </cols>
  <sheetData>
    <row r="1" spans="1:130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2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+entero!CT3</f>
        <v xml:space="preserve">2016                         A  fines de Sep* </v>
      </c>
      <c r="CU3" s="910" t="str">
        <f>+entero!CU3</f>
        <v xml:space="preserve">2016                         A  fines de Oct* </v>
      </c>
      <c r="CV3" s="910" t="str">
        <f>+entero!CV3</f>
        <v xml:space="preserve">2016                         A  fines de Nov* </v>
      </c>
      <c r="CW3" s="910" t="str">
        <f>+entero!CW3</f>
        <v>2016                         A  fines de Dic* 15</v>
      </c>
      <c r="CX3" s="910" t="str">
        <f>+entero!CX3</f>
        <v xml:space="preserve">2017                         A  fines de Ene* </v>
      </c>
      <c r="CY3" s="910" t="str">
        <f>+entero!CY3</f>
        <v xml:space="preserve">2017                         A  fines de Feb* </v>
      </c>
      <c r="CZ3" s="910" t="str">
        <f>+entero!CZ3</f>
        <v xml:space="preserve">2017                         A  fines de Mar* </v>
      </c>
      <c r="DA3" s="910" t="str">
        <f>+entero!DA3</f>
        <v xml:space="preserve">2017                         A  fines de Abr* </v>
      </c>
      <c r="DB3" s="910" t="str">
        <f>+entero!DB3</f>
        <v xml:space="preserve">2017                         A  fines de May* </v>
      </c>
      <c r="DC3" s="910" t="str">
        <f>+entero!DC3</f>
        <v xml:space="preserve">2017                         A  fines de Jun* </v>
      </c>
      <c r="DD3" s="910" t="str">
        <f>+entero!DD3</f>
        <v xml:space="preserve">2017                         A  fines de Jul* </v>
      </c>
      <c r="DE3" s="917" t="str">
        <f>+entero!DE3</f>
        <v>Semana 1°</v>
      </c>
      <c r="DF3" s="917" t="str">
        <f>+entero!DF3</f>
        <v>Semana 2°</v>
      </c>
      <c r="DG3" s="917" t="str">
        <f>+entero!DG3</f>
        <v>Semana 3°</v>
      </c>
      <c r="DH3" s="91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5" t="s">
        <v>27</v>
      </c>
      <c r="DO3" s="9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3">
      <c r="C4" s="20"/>
      <c r="D4" s="92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3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3"/>
      <c r="BM4" s="913"/>
      <c r="BN4" s="913"/>
      <c r="BO4" s="913"/>
      <c r="BP4" s="913"/>
      <c r="BQ4" s="913"/>
      <c r="BR4" s="913"/>
      <c r="BS4" s="913"/>
      <c r="BT4" s="913"/>
      <c r="BU4" s="913"/>
      <c r="BV4" s="913"/>
      <c r="BW4" s="913"/>
      <c r="BX4" s="913"/>
      <c r="BY4" s="913"/>
      <c r="BZ4" s="913"/>
      <c r="CA4" s="913"/>
      <c r="CB4" s="913"/>
      <c r="CC4" s="913"/>
      <c r="CD4" s="913"/>
      <c r="CE4" s="913"/>
      <c r="CF4" s="913"/>
      <c r="CG4" s="913"/>
      <c r="CH4" s="913"/>
      <c r="CI4" s="913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913"/>
      <c r="CZ4" s="913"/>
      <c r="DA4" s="913"/>
      <c r="DB4" s="913"/>
      <c r="DC4" s="913"/>
      <c r="DD4" s="913"/>
      <c r="DE4" s="918"/>
      <c r="DF4" s="918"/>
      <c r="DG4" s="918"/>
      <c r="DH4" s="91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5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5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7">
        <f>+entero!DH38</f>
        <v>2445.2771138527692</v>
      </c>
      <c r="DI6" s="539">
        <f>+entero!DI38</f>
        <v>2445.2771138527692</v>
      </c>
      <c r="DJ6" s="539">
        <f>+entero!DJ38</f>
        <v>2445.2771138527692</v>
      </c>
      <c r="DK6" s="539">
        <f>+entero!DK38</f>
        <v>2445.2771138527692</v>
      </c>
      <c r="DL6" s="539">
        <f>+entero!DL38</f>
        <v>2445.2771138527692</v>
      </c>
      <c r="DM6" s="539">
        <f>+entero!DM38</f>
        <v>2483.5161138527692</v>
      </c>
      <c r="DN6" s="538">
        <f>+entero!DN38</f>
        <v>38.239000000000033</v>
      </c>
      <c r="DO6" s="565">
        <f>+entero!DO38</f>
        <v>1.5637900417654782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5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22">
        <f>+entero!DH39</f>
        <v>1865.288921282799</v>
      </c>
      <c r="DI7" s="532">
        <f>+entero!DI39</f>
        <v>1865.288921282799</v>
      </c>
      <c r="DJ7" s="532">
        <f>+entero!DJ39</f>
        <v>1865.288921282799</v>
      </c>
      <c r="DK7" s="532">
        <f>+entero!DK39</f>
        <v>1865.288921282799</v>
      </c>
      <c r="DL7" s="532">
        <f>+entero!DL39</f>
        <v>1865.288921282799</v>
      </c>
      <c r="DM7" s="532">
        <f>+entero!DM39</f>
        <v>1866.1165510204085</v>
      </c>
      <c r="DN7" s="531">
        <f>+entero!DN39</f>
        <v>0.8276297376094135</v>
      </c>
      <c r="DO7" s="566">
        <f>+entero!DO39</f>
        <v>4.4370055928943941E-2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8" x14ac:dyDescent="0.25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22">
        <f>+entero!DH40</f>
        <v>12795.882000000001</v>
      </c>
      <c r="DI8" s="532">
        <f>+entero!DI40</f>
        <v>12795.882000000001</v>
      </c>
      <c r="DJ8" s="532">
        <f>+entero!DJ40</f>
        <v>12795.882000000001</v>
      </c>
      <c r="DK8" s="532">
        <f>+entero!DK40</f>
        <v>12795.882000000001</v>
      </c>
      <c r="DL8" s="532">
        <f>+entero!DL40</f>
        <v>12795.882000000001</v>
      </c>
      <c r="DM8" s="532">
        <f>+entero!DM40</f>
        <v>12801.559540000002</v>
      </c>
      <c r="DN8" s="531">
        <f>+entero!DN40</f>
        <v>5.6775400000005902</v>
      </c>
      <c r="DO8" s="566">
        <f>+entero!DO40</f>
        <v>4.4370055928943941E-2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8" x14ac:dyDescent="0.25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5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22">
        <f>+entero!DH42</f>
        <v>579.98819256997001</v>
      </c>
      <c r="DI10" s="532">
        <f>+entero!DI42</f>
        <v>579.98819256997001</v>
      </c>
      <c r="DJ10" s="532">
        <f>+entero!DJ42</f>
        <v>579.98819256997001</v>
      </c>
      <c r="DK10" s="532">
        <f>+entero!DK42</f>
        <v>579.98819256997001</v>
      </c>
      <c r="DL10" s="532">
        <f>+entero!DL42</f>
        <v>579.98819256997001</v>
      </c>
      <c r="DM10" s="532">
        <f>+entero!DM42</f>
        <v>617.39956283236063</v>
      </c>
      <c r="DN10" s="531">
        <f>+entero!DN42</f>
        <v>37.411370262390619</v>
      </c>
      <c r="DO10" s="566">
        <f>+entero!DO42</f>
        <v>6.4503675663840854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8" x14ac:dyDescent="0.25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22">
        <f>+entero!DH43</f>
        <v>3978.7190010299946</v>
      </c>
      <c r="DI11" s="532">
        <f>+entero!DI43</f>
        <v>3978.7190010299946</v>
      </c>
      <c r="DJ11" s="532">
        <f>+entero!DJ43</f>
        <v>3978.7190010299946</v>
      </c>
      <c r="DK11" s="532">
        <f>+entero!DK43</f>
        <v>3978.7190010299946</v>
      </c>
      <c r="DL11" s="532">
        <f>+entero!DL43</f>
        <v>3978.7190010299946</v>
      </c>
      <c r="DM11" s="532">
        <f>+entero!DM43</f>
        <v>4235.3610010299944</v>
      </c>
      <c r="DN11" s="531">
        <f>+entero!DN43</f>
        <v>256.64199999999983</v>
      </c>
      <c r="DO11" s="566">
        <f>+entero!DO43</f>
        <v>6.4503675663840854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5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5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56">
        <f>+entero!DH46</f>
        <v>0.14577259475218657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0.18950437317784255</v>
      </c>
      <c r="DL13" s="9">
        <f>+entero!DL46</f>
        <v>47.481129737609329</v>
      </c>
      <c r="DM13" s="9">
        <f>+entero!DM46</f>
        <v>22.819322157434403</v>
      </c>
      <c r="DN13" s="12">
        <f>+entero!DN46</f>
        <v>22.673549562682215</v>
      </c>
      <c r="DO13" s="566">
        <f>+entero!DO46</f>
        <v>15554.055000000002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5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56">
        <f>+entero!DH47</f>
        <v>0.14577259475218657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9">
        <f>+entero!DL47</f>
        <v>24.85131195335277</v>
      </c>
      <c r="DM14" s="9">
        <f>+entero!DM47</f>
        <v>0.18950437317784255</v>
      </c>
      <c r="DN14" s="12">
        <f>+entero!DN47</f>
        <v>4.3731778425655982E-2</v>
      </c>
      <c r="DO14" s="566">
        <f>+entero!DO47</f>
        <v>30.000000000000004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5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56">
        <f>+entero!DH48</f>
        <v>1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9">
        <f>+entero!DL48</f>
        <v>81.3</v>
      </c>
      <c r="DM15" s="9">
        <f>+entero!DM48</f>
        <v>1.3</v>
      </c>
      <c r="DN15" s="12">
        <f>+entero!DN48</f>
        <v>0.30000000000000004</v>
      </c>
      <c r="DO15" s="566">
        <f>+entero!DO48</f>
        <v>30.000000000000004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5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13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5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22.629817784256559</v>
      </c>
      <c r="DM17" s="9">
        <f>+entero!DM50</f>
        <v>22.629817784256559</v>
      </c>
      <c r="DN17" s="12">
        <f>+entero!DN50</f>
        <v>22.629817784256559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5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155.24055000000001</v>
      </c>
      <c r="DM18" s="9">
        <f>+entero!DM51</f>
        <v>155.24055000000001</v>
      </c>
      <c r="DN18" s="12">
        <f>+entero!DN51</f>
        <v>155.24055000000001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8" thickBot="1" x14ac:dyDescent="0.3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3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5.6" x14ac:dyDescent="0.3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ht="13.8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ht="13.8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ht="13.8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ht="13.8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ht="13.8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I3:DM3"/>
    <mergeCell ref="DG3:DG4"/>
    <mergeCell ref="DH3:D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4" width="10.109375" customWidth="1"/>
    <col min="115" max="117" width="9.5546875" customWidth="1"/>
    <col min="118" max="118" width="9" customWidth="1"/>
    <col min="119" max="119" width="10" customWidth="1"/>
    <col min="120" max="130" width="11.44140625" style="200"/>
  </cols>
  <sheetData>
    <row r="1" spans="1:129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2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+entero!CT3</f>
        <v xml:space="preserve">2016                         A  fines de Sep* </v>
      </c>
      <c r="CU3" s="910" t="str">
        <f>+entero!CU3</f>
        <v xml:space="preserve">2016                         A  fines de Oct* </v>
      </c>
      <c r="CV3" s="910" t="str">
        <f>+entero!CV3</f>
        <v xml:space="preserve">2016                         A  fines de Nov* </v>
      </c>
      <c r="CW3" s="910" t="str">
        <f>+entero!CW3</f>
        <v>2016                         A  fines de Dic* 15</v>
      </c>
      <c r="CX3" s="910" t="str">
        <f>+entero!CX3</f>
        <v xml:space="preserve">2017                         A  fines de Ene* </v>
      </c>
      <c r="CY3" s="910" t="str">
        <f>+entero!CY3</f>
        <v xml:space="preserve">2017                         A  fines de Feb* </v>
      </c>
      <c r="CZ3" s="910" t="str">
        <f>+entero!CZ3</f>
        <v xml:space="preserve">2017                         A  fines de Mar* </v>
      </c>
      <c r="DA3" s="910" t="str">
        <f>+entero!DA3</f>
        <v xml:space="preserve">2017                         A  fines de Abr* </v>
      </c>
      <c r="DB3" s="910" t="str">
        <f>+entero!DB3</f>
        <v xml:space="preserve">2017                         A  fines de May* </v>
      </c>
      <c r="DC3" s="910" t="str">
        <f>+entero!DC3</f>
        <v xml:space="preserve">2017                         A  fines de Jun* </v>
      </c>
      <c r="DD3" s="910" t="str">
        <f>+entero!DD3</f>
        <v xml:space="preserve">2017                         A  fines de Jul* </v>
      </c>
      <c r="DE3" s="917" t="str">
        <f>+entero!DE3</f>
        <v>Semana 1°</v>
      </c>
      <c r="DF3" s="917" t="str">
        <f>+entero!DF3</f>
        <v>Semana 2°</v>
      </c>
      <c r="DG3" s="917" t="str">
        <f>+entero!DG3</f>
        <v>Semana 3°</v>
      </c>
      <c r="DH3" s="91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5" t="s">
        <v>27</v>
      </c>
      <c r="DO3" s="916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3">
      <c r="C4" s="20"/>
      <c r="D4" s="92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3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3"/>
      <c r="BM4" s="913"/>
      <c r="BN4" s="913"/>
      <c r="BO4" s="913"/>
      <c r="BP4" s="913"/>
      <c r="BQ4" s="913"/>
      <c r="BR4" s="913"/>
      <c r="BS4" s="913"/>
      <c r="BT4" s="913"/>
      <c r="BU4" s="913"/>
      <c r="BV4" s="913"/>
      <c r="BW4" s="913"/>
      <c r="BX4" s="913"/>
      <c r="BY4" s="913"/>
      <c r="BZ4" s="913"/>
      <c r="CA4" s="913"/>
      <c r="CB4" s="913"/>
      <c r="CC4" s="913"/>
      <c r="CD4" s="913"/>
      <c r="CE4" s="913"/>
      <c r="CF4" s="913"/>
      <c r="CG4" s="913"/>
      <c r="CH4" s="913"/>
      <c r="CI4" s="913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913"/>
      <c r="CZ4" s="913"/>
      <c r="DA4" s="913"/>
      <c r="DB4" s="913"/>
      <c r="DC4" s="913"/>
      <c r="DD4" s="913"/>
      <c r="DE4" s="918"/>
      <c r="DF4" s="918"/>
      <c r="DG4" s="918"/>
      <c r="DH4" s="91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5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5.6" x14ac:dyDescent="0.25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430">
        <f>+entero!DH54</f>
        <v>24199.819326439196</v>
      </c>
      <c r="DI6" s="541">
        <f>+entero!DI54</f>
        <v>24176.584574026663</v>
      </c>
      <c r="DJ6" s="541">
        <f>+entero!DJ54</f>
        <v>24232.393483666609</v>
      </c>
      <c r="DK6" s="541">
        <f>+entero!DK54</f>
        <v>24299.146381784678</v>
      </c>
      <c r="DL6" s="541">
        <f>+entero!DL54</f>
        <v>24443.616398477105</v>
      </c>
      <c r="DM6" s="541">
        <f>+entero!DM54</f>
        <v>24616.213387775933</v>
      </c>
      <c r="DN6" s="540">
        <f>+entero!DN54</f>
        <v>416.39406133673765</v>
      </c>
      <c r="DO6" s="837">
        <f>+entero!DO54</f>
        <v>1.7206494632040936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8" x14ac:dyDescent="0.25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69">
        <f>+entero!DH55</f>
        <v>85.175036314154923</v>
      </c>
      <c r="DI7" s="571">
        <f>+entero!DI55</f>
        <v>85.175110499338146</v>
      </c>
      <c r="DJ7" s="571">
        <f>+entero!DJ55</f>
        <v>85.194916583811136</v>
      </c>
      <c r="DK7" s="571">
        <f>+entero!DK55</f>
        <v>85.201927059296736</v>
      </c>
      <c r="DL7" s="571">
        <f>+entero!DL55</f>
        <v>85.286912155314397</v>
      </c>
      <c r="DM7" s="571">
        <f>+entero!DM55</f>
        <v>85.263969739193072</v>
      </c>
      <c r="DN7" s="570">
        <f>+entero!DN55</f>
        <v>8.8933425038149494E-2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5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430">
        <f>+entero!DH56</f>
        <v>23048.87343431238</v>
      </c>
      <c r="DI8" s="541">
        <f>+entero!DI56</f>
        <v>23022.85101336486</v>
      </c>
      <c r="DJ8" s="541">
        <f>+entero!DJ56</f>
        <v>23077.489106379438</v>
      </c>
      <c r="DK8" s="541">
        <f>+entero!DK56</f>
        <v>23143.339846764276</v>
      </c>
      <c r="DL8" s="541">
        <f>+entero!DL56</f>
        <v>23287.064702808013</v>
      </c>
      <c r="DM8" s="541">
        <f>+entero!DM56</f>
        <v>23471.493200048535</v>
      </c>
      <c r="DN8" s="540">
        <f>+entero!DN56</f>
        <v>422.61976573615539</v>
      </c>
      <c r="DO8" s="837">
        <f>+entero!DO56</f>
        <v>1.8335810075082115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5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69">
        <f>+entero!DH57</f>
        <v>84.682545272225369</v>
      </c>
      <c r="DI9" s="571">
        <f>+entero!DI57</f>
        <v>84.683901765627297</v>
      </c>
      <c r="DJ9" s="571">
        <f>+entero!DJ57</f>
        <v>84.699016013027006</v>
      </c>
      <c r="DK9" s="571">
        <f>+entero!DK57</f>
        <v>84.703108811402302</v>
      </c>
      <c r="DL9" s="571">
        <f>+entero!DL57</f>
        <v>84.790732196406907</v>
      </c>
      <c r="DM9" s="571">
        <f>+entero!DM57</f>
        <v>84.817731481146694</v>
      </c>
      <c r="DN9" s="570">
        <f>+entero!DN57</f>
        <v>0.1351862089213256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5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5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430">
        <f>+entero!DH59</f>
        <v>4628.1602354481211</v>
      </c>
      <c r="DI11" s="541">
        <f>+entero!DI59</f>
        <v>4620.5168999962261</v>
      </c>
      <c r="DJ11" s="541">
        <f>+entero!DJ59</f>
        <v>4639.8282901930197</v>
      </c>
      <c r="DK11" s="541">
        <f>+entero!DK59</f>
        <v>4647.9295217236304</v>
      </c>
      <c r="DL11" s="541">
        <f>+entero!DL59</f>
        <v>4696.0009203868958</v>
      </c>
      <c r="DM11" s="541">
        <f>+entero!DM59</f>
        <v>4814.5743723781497</v>
      </c>
      <c r="DN11" s="540">
        <f>+entero!DN59</f>
        <v>186.41413693002869</v>
      </c>
      <c r="DO11" s="837">
        <f>+entero!DO59</f>
        <v>4.0278237452161081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5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69">
        <f>+entero!DH60</f>
        <v>77.768093121233008</v>
      </c>
      <c r="DI12" s="571">
        <f>+entero!DI60</f>
        <v>77.708876061226391</v>
      </c>
      <c r="DJ12" s="571">
        <f>+entero!DJ60</f>
        <v>77.732074053297424</v>
      </c>
      <c r="DK12" s="571">
        <f>+entero!DK60</f>
        <v>77.749818421869321</v>
      </c>
      <c r="DL12" s="571">
        <f>+entero!DL60</f>
        <v>77.913447651224587</v>
      </c>
      <c r="DM12" s="571">
        <f>+entero!DM60</f>
        <v>77.760900160433181</v>
      </c>
      <c r="DN12" s="570">
        <f>+entero!DN60</f>
        <v>-7.1929607998271194E-3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5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5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430">
        <f>+entero!DH62</f>
        <v>7112.0516582931878</v>
      </c>
      <c r="DI14" s="541">
        <f>+entero!DI62</f>
        <v>7093.793251449164</v>
      </c>
      <c r="DJ14" s="541">
        <f>+entero!DJ62</f>
        <v>7111.5722588602439</v>
      </c>
      <c r="DK14" s="541">
        <f>+entero!DK62</f>
        <v>7169.0832726678218</v>
      </c>
      <c r="DL14" s="541">
        <f>+entero!DL62</f>
        <v>7231.034100969574</v>
      </c>
      <c r="DM14" s="541">
        <f>+entero!DM62</f>
        <v>7314.0163602844432</v>
      </c>
      <c r="DN14" s="540">
        <f>+entero!DN62</f>
        <v>201.96470199125542</v>
      </c>
      <c r="DO14" s="837">
        <f>+entero!DO62</f>
        <v>2.8397530233874146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69">
        <f>+entero!DH63</f>
        <v>76.304109255782208</v>
      </c>
      <c r="DI15" s="571">
        <f>+entero!DI63</f>
        <v>76.316839376025357</v>
      </c>
      <c r="DJ15" s="571">
        <f>+entero!DJ63</f>
        <v>76.401533031378818</v>
      </c>
      <c r="DK15" s="571">
        <f>+entero!DK63</f>
        <v>76.532253726066372</v>
      </c>
      <c r="DL15" s="571">
        <f>+entero!DL63</f>
        <v>76.664573537200795</v>
      </c>
      <c r="DM15" s="571">
        <f>+entero!DM63</f>
        <v>76.98064298814306</v>
      </c>
      <c r="DN15" s="570">
        <f>+entero!DN63</f>
        <v>0.67653373236085201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5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5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430">
        <f>+entero!DH65</f>
        <v>10446.342549772589</v>
      </c>
      <c r="DI17" s="541">
        <f>+entero!DI65</f>
        <v>10446.739020460636</v>
      </c>
      <c r="DJ17" s="541">
        <f>+entero!DJ65</f>
        <v>10464.094490966467</v>
      </c>
      <c r="DK17" s="541">
        <f>+entero!DK65</f>
        <v>10465.850853284253</v>
      </c>
      <c r="DL17" s="541">
        <f>+entero!DL65</f>
        <v>10498.031802319239</v>
      </c>
      <c r="DM17" s="541">
        <f>+entero!DM65</f>
        <v>10495.218350951889</v>
      </c>
      <c r="DN17" s="540">
        <f>+entero!DN65</f>
        <v>48.875801179299742</v>
      </c>
      <c r="DO17" s="837">
        <f>+entero!DO65</f>
        <v>0.46787477001091204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5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69">
        <f>+entero!DH66</f>
        <v>94.849389516255613</v>
      </c>
      <c r="DI18" s="571">
        <f>+entero!DI66</f>
        <v>94.856006923468073</v>
      </c>
      <c r="DJ18" s="571">
        <f>+entero!DJ66</f>
        <v>94.81411789328547</v>
      </c>
      <c r="DK18" s="571">
        <f>+entero!DK66</f>
        <v>94.786827853030189</v>
      </c>
      <c r="DL18" s="571">
        <f>+entero!DL66</f>
        <v>94.803647691904402</v>
      </c>
      <c r="DM18" s="571">
        <f>+entero!DM66</f>
        <v>94.804692484903185</v>
      </c>
      <c r="DN18" s="570">
        <f>+entero!DN66</f>
        <v>-4.469703135242753E-2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5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5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430">
        <f>+entero!DH68</f>
        <v>862.31899079848222</v>
      </c>
      <c r="DI20" s="541">
        <f>+entero!DI68</f>
        <v>861.80184145883186</v>
      </c>
      <c r="DJ20" s="541">
        <f>+entero!DJ68</f>
        <v>861.99406635970638</v>
      </c>
      <c r="DK20" s="541">
        <f>+entero!DK68</f>
        <v>860.4761990885695</v>
      </c>
      <c r="DL20" s="541">
        <f>+entero!DL68</f>
        <v>861.99787913230125</v>
      </c>
      <c r="DM20" s="541">
        <f>+entero!DM68</f>
        <v>847.68411643405022</v>
      </c>
      <c r="DN20" s="540">
        <f>+entero!DN68</f>
        <v>-14.634874364431994</v>
      </c>
      <c r="DO20" s="837">
        <f>+entero!DO68</f>
        <v>-1.6971532020743862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5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69">
        <f>+entero!DH69</f>
        <v>79.687521051656134</v>
      </c>
      <c r="DI21" s="571">
        <f>+entero!DI69</f>
        <v>79.712925960403965</v>
      </c>
      <c r="DJ21" s="571">
        <f>+entero!DJ69</f>
        <v>79.66149634283407</v>
      </c>
      <c r="DK21" s="571">
        <f>+entero!DK69</f>
        <v>79.563974905336849</v>
      </c>
      <c r="DL21" s="571">
        <f>+entero!DL69</f>
        <v>79.555653459013953</v>
      </c>
      <c r="DM21" s="571">
        <f>+entero!DM69</f>
        <v>80.55895336638676</v>
      </c>
      <c r="DN21" s="570">
        <f>+entero!DN69</f>
        <v>0.87143231473062599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5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5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430">
        <f>+entero!DH71</f>
        <v>4290.5261199888309</v>
      </c>
      <c r="DI23" s="541">
        <f>+entero!DI71</f>
        <v>4356.4470771042888</v>
      </c>
      <c r="DJ23" s="541">
        <f>+entero!DJ71</f>
        <v>4254.573520662605</v>
      </c>
      <c r="DK23" s="541">
        <f>+entero!DK71</f>
        <v>4259.0807922351532</v>
      </c>
      <c r="DL23" s="541">
        <f>+entero!DL71</f>
        <v>4392.2217545082403</v>
      </c>
      <c r="DM23" s="541">
        <f>+entero!DM71</f>
        <v>4582.634178621267</v>
      </c>
      <c r="DN23" s="540">
        <f>+entero!DN71</f>
        <v>292.10805863243604</v>
      </c>
      <c r="DO23" s="837">
        <f>+entero!DO71</f>
        <v>6.8082107057116925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5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430">
        <f>+entero!DH72</f>
        <v>1636.6913223002914</v>
      </c>
      <c r="DI24" s="541">
        <f>+entero!DI72</f>
        <v>1607.0030358476677</v>
      </c>
      <c r="DJ24" s="541">
        <f>+entero!DJ72</f>
        <v>1591.6958116537903</v>
      </c>
      <c r="DK24" s="541">
        <f>+entero!DK72</f>
        <v>1586.5938800218657</v>
      </c>
      <c r="DL24" s="541">
        <f>+entero!DL72</f>
        <v>1687.4815614795921</v>
      </c>
      <c r="DM24" s="541">
        <f>+entero!DM72</f>
        <v>1908.3136565714285</v>
      </c>
      <c r="DN24" s="540">
        <f>+entero!DN72</f>
        <v>271.62233427113711</v>
      </c>
      <c r="DO24" s="837">
        <f>+entero!DO72</f>
        <v>16.595819295319835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5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430">
        <f>+entero!DH73</f>
        <v>499.92796641518066</v>
      </c>
      <c r="DI25" s="541">
        <f>+entero!DI73</f>
        <v>499.94120105479595</v>
      </c>
      <c r="DJ25" s="541">
        <f>+entero!DJ73</f>
        <v>503.22691614221986</v>
      </c>
      <c r="DK25" s="541">
        <f>+entero!DK73</f>
        <v>503.23200666775938</v>
      </c>
      <c r="DL25" s="541">
        <f>+entero!DL73</f>
        <v>503.21542142666607</v>
      </c>
      <c r="DM25" s="541">
        <f>+entero!DM73</f>
        <v>503.21956061535417</v>
      </c>
      <c r="DN25" s="540">
        <f>+entero!DN73</f>
        <v>3.2915942001735061</v>
      </c>
      <c r="DO25" s="837">
        <f>+entero!DO73</f>
        <v>0.65841369583230502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5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430">
        <f>+entero!DH74</f>
        <v>708.5205616033586</v>
      </c>
      <c r="DI26" s="541">
        <f>+entero!DI74</f>
        <v>804.02495821182504</v>
      </c>
      <c r="DJ26" s="541">
        <f>+entero!DJ74</f>
        <v>721.79958657659495</v>
      </c>
      <c r="DK26" s="541">
        <f>+entero!DK74</f>
        <v>731.34447124552798</v>
      </c>
      <c r="DL26" s="541">
        <f>+entero!DL74</f>
        <v>763.73150284198266</v>
      </c>
      <c r="DM26" s="541">
        <f>+entero!DM74</f>
        <v>733.23822219448391</v>
      </c>
      <c r="DN26" s="540">
        <f>+entero!DN74</f>
        <v>24.717660591125309</v>
      </c>
      <c r="DO26" s="837">
        <f>+entero!DO74</f>
        <v>3.4886299608849924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5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430">
        <f>+entero!DH75</f>
        <v>1445.3862696699998</v>
      </c>
      <c r="DI27" s="541">
        <f>+entero!DI75</f>
        <v>1445.4778819900002</v>
      </c>
      <c r="DJ27" s="541">
        <f>+entero!DJ75</f>
        <v>1437.8512062900002</v>
      </c>
      <c r="DK27" s="541">
        <f>+entero!DK75</f>
        <v>1437.9104343000001</v>
      </c>
      <c r="DL27" s="541">
        <f>+entero!DL75</f>
        <v>1437.7932687599998</v>
      </c>
      <c r="DM27" s="541">
        <f>+entero!DM75</f>
        <v>1437.8627392400001</v>
      </c>
      <c r="DN27" s="540">
        <f>+entero!DN75</f>
        <v>-7.5235304299997097</v>
      </c>
      <c r="DO27" s="837">
        <f>+entero!DO75</f>
        <v>-0.52052040259918941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5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430">
        <f>+entero!DH76</f>
        <v>1010.9454970730092</v>
      </c>
      <c r="DI28" s="541">
        <f>+entero!DI76</f>
        <v>1073.4901152945924</v>
      </c>
      <c r="DJ28" s="541">
        <f>+entero!DJ76</f>
        <v>971.09218891185208</v>
      </c>
      <c r="DK28" s="541">
        <f>+entero!DK76</f>
        <v>976.5222252110367</v>
      </c>
      <c r="DL28" s="541">
        <f>+entero!DL76</f>
        <v>1107.1540092747803</v>
      </c>
      <c r="DM28" s="541">
        <f>+entero!DM76</f>
        <v>1296.4480848181386</v>
      </c>
      <c r="DN28" s="540">
        <f>+entero!DN76</f>
        <v>285.5025877451294</v>
      </c>
      <c r="DO28" s="837">
        <f>+entero!DO76</f>
        <v>28.241145400196665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5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430">
        <f>+entero!DH77</f>
        <v>800.23190812965061</v>
      </c>
      <c r="DI29" s="541">
        <f>+entero!DI77</f>
        <v>765.84158262276719</v>
      </c>
      <c r="DJ29" s="541">
        <f>+entero!DJ77</f>
        <v>745.41809403525713</v>
      </c>
      <c r="DK29" s="541">
        <f>+entero!DK77</f>
        <v>741.31112054550874</v>
      </c>
      <c r="DL29" s="541">
        <f>+entero!DL77</f>
        <v>839.5737541827973</v>
      </c>
      <c r="DM29" s="541">
        <f>+entero!DM77</f>
        <v>1059.4289427636547</v>
      </c>
      <c r="DN29" s="540">
        <f>+entero!DN77</f>
        <v>259.19703463400413</v>
      </c>
      <c r="DO29" s="837">
        <f>+entero!DO77</f>
        <v>32.390239879313839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5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430">
        <f>+entero!DH78</f>
        <v>210.71358894335862</v>
      </c>
      <c r="DI30" s="541">
        <f>+entero!DI78</f>
        <v>307.64853267182519</v>
      </c>
      <c r="DJ30" s="541">
        <f>+entero!DJ78</f>
        <v>225.67409487659495</v>
      </c>
      <c r="DK30" s="541">
        <f>+entero!DK78</f>
        <v>235.21110466552804</v>
      </c>
      <c r="DL30" s="541">
        <f>+entero!DL78</f>
        <v>267.58025509198274</v>
      </c>
      <c r="DM30" s="541">
        <f>+entero!DM78</f>
        <v>237.01914205448395</v>
      </c>
      <c r="DN30" s="540">
        <f>+entero!DN78</f>
        <v>26.305553111125334</v>
      </c>
      <c r="DO30" s="837">
        <f>+entero!DO78</f>
        <v>12.484032588043693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5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5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430">
        <f>+entero!DH80</f>
        <v>21271.476450719976</v>
      </c>
      <c r="DI32" s="541">
        <f>+entero!DI80</f>
        <v>21302.421631168956</v>
      </c>
      <c r="DJ32" s="541">
        <f>+entero!DJ80</f>
        <v>21349.033706499868</v>
      </c>
      <c r="DK32" s="541">
        <f>+entero!DK80</f>
        <v>21407.433135199575</v>
      </c>
      <c r="DL32" s="541">
        <f>+entero!DL80</f>
        <v>21501.403237527564</v>
      </c>
      <c r="DM32" s="541">
        <f>+entero!DM80</f>
        <v>21482.364651020274</v>
      </c>
      <c r="DN32" s="540">
        <f>+entero!DN80</f>
        <v>210.88820030029819</v>
      </c>
      <c r="DO32" s="837">
        <f>+entero!DO80</f>
        <v>0.99141308215660029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2" hidden="1" customHeight="1" x14ac:dyDescent="0.25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5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18">
        <f>+entero!DH82</f>
        <v>97.434668601339339</v>
      </c>
      <c r="DI34" s="520">
        <f>+entero!DI82</f>
        <v>97.439480798653946</v>
      </c>
      <c r="DJ34" s="520">
        <f>+entero!DJ82</f>
        <v>97.447760106466475</v>
      </c>
      <c r="DK34" s="520">
        <f>+entero!DK82</f>
        <v>97.454338543520223</v>
      </c>
      <c r="DL34" s="520">
        <f>+entero!DL82</f>
        <v>97.467793388785267</v>
      </c>
      <c r="DM34" s="520">
        <f>+entero!DM82</f>
        <v>97.469174028914466</v>
      </c>
      <c r="DN34" s="519">
        <f>+entero!DN82</f>
        <v>3.4505427575126646E-2</v>
      </c>
      <c r="DO34" s="521">
        <f>+entero!DO82</f>
        <v>3.5413911773352069E-2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3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3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5.6" x14ac:dyDescent="0.3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5.6" x14ac:dyDescent="0.3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ht="13.8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ht="13.8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ht="13.8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ht="13.8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ht="13.8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ht="13.8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ht="13.8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ht="13.8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ht="13.8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ht="13.8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ht="13.8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ht="13.8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ht="13.8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ht="13.8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ht="13.8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ht="13.8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ht="13.8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ht="13.8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ht="13.8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ht="13.8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ht="13.8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ht="13.8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DE3:DE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DH3:DH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4" width="8.109375" customWidth="1"/>
    <col min="115" max="117" width="8" customWidth="1"/>
    <col min="118" max="118" width="8.44140625" bestFit="1" customWidth="1"/>
    <col min="119" max="119" width="10" customWidth="1"/>
    <col min="121" max="130" width="11.44140625" style="200"/>
  </cols>
  <sheetData>
    <row r="1" spans="1:130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1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27" t="str">
        <f>+entero!DD3</f>
        <v xml:space="preserve">2017                         A  fines de Jul* </v>
      </c>
      <c r="DE3" s="929" t="str">
        <f>+entero!DE3</f>
        <v>Semana 1°</v>
      </c>
      <c r="DF3" s="929" t="str">
        <f>+entero!DF3</f>
        <v>Semana 2°</v>
      </c>
      <c r="DG3" s="929" t="str">
        <f>+entero!DG3</f>
        <v>Semana 3°</v>
      </c>
      <c r="DH3" s="929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33" t="s">
        <v>27</v>
      </c>
      <c r="DO3" s="934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3">
      <c r="C4" s="180"/>
      <c r="D4" s="932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28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28"/>
      <c r="BM4" s="928"/>
      <c r="BN4" s="928"/>
      <c r="BO4" s="928"/>
      <c r="BP4" s="928"/>
      <c r="BQ4" s="928"/>
      <c r="BR4" s="928"/>
      <c r="BS4" s="928"/>
      <c r="BT4" s="928"/>
      <c r="BU4" s="928"/>
      <c r="BV4" s="928"/>
      <c r="BW4" s="928"/>
      <c r="BX4" s="928"/>
      <c r="BY4" s="928"/>
      <c r="BZ4" s="928"/>
      <c r="CA4" s="928"/>
      <c r="CB4" s="928"/>
      <c r="CC4" s="928"/>
      <c r="CD4" s="928"/>
      <c r="CE4" s="928"/>
      <c r="CF4" s="928"/>
      <c r="CG4" s="928"/>
      <c r="CH4" s="928"/>
      <c r="CI4" s="928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8"/>
      <c r="DA4" s="928"/>
      <c r="DB4" s="928"/>
      <c r="DC4" s="928"/>
      <c r="DD4" s="928"/>
      <c r="DE4" s="930"/>
      <c r="DF4" s="930"/>
      <c r="DG4" s="930"/>
      <c r="DH4" s="930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5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5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5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4" thickBot="1" x14ac:dyDescent="0.3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74">
        <f>+entero!DH86</f>
        <v>6.956082664045895</v>
      </c>
      <c r="DI8" s="514">
        <f>+entero!DI86</f>
        <v>6.9619261130712022</v>
      </c>
      <c r="DJ8" s="514">
        <f>+entero!DJ86</f>
        <v>6.9634784302770196</v>
      </c>
      <c r="DK8" s="514">
        <f>+entero!DK86</f>
        <v>6.9692365687833124</v>
      </c>
      <c r="DL8" s="514">
        <f>+entero!DL86</f>
        <v>6.9651717592029092</v>
      </c>
      <c r="DM8" s="514">
        <f>+entero!DM86</f>
        <v>6.9570146719047186</v>
      </c>
      <c r="DN8" s="589">
        <f>+entero!DN86</f>
        <v>9.3200785882352477E-4</v>
      </c>
      <c r="DO8" s="535">
        <f>+entero!DO86</f>
        <v>1.339845864167799E-2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8" thickBot="1" x14ac:dyDescent="0.3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890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8" thickBot="1" x14ac:dyDescent="0.3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63">
        <f>+entero!DH88</f>
        <v>2.2131699999999999</v>
      </c>
      <c r="DI10" s="827">
        <f>+entero!DI88</f>
        <v>2.2136200000000001</v>
      </c>
      <c r="DJ10" s="827">
        <f>+entero!DJ88</f>
        <v>2.2137699999999998</v>
      </c>
      <c r="DK10" s="827">
        <f>+entero!DK88</f>
        <v>2.2139199999999999</v>
      </c>
      <c r="DL10" s="827">
        <f>+entero!DL88</f>
        <v>2.21407</v>
      </c>
      <c r="DM10" s="827">
        <f>+entero!DM88</f>
        <v>2.2142300000000001</v>
      </c>
      <c r="DN10" s="564">
        <f>+entero!DN88</f>
        <v>1.0600000000002829E-3</v>
      </c>
      <c r="DO10" s="462">
        <f>+entero!DO88</f>
        <v>4.789510069267422E-2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8" thickBot="1" x14ac:dyDescent="0.3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3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3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3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3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3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42985.735737152776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3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ht="13.8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ht="13.8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ht="13.8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ht="13.8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ht="13.8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ht="13.8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ht="13.8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ht="13.8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ht="13.8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ht="13.8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ht="13.8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ht="13.8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ht="13.8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ht="13.8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ht="13.8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ht="13.8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ht="13.8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ht="13.8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H3:DH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BS3:BS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G3:DG4"/>
    <mergeCell ref="DF3:DF4"/>
    <mergeCell ref="DI3:DM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4" width="7.5546875" customWidth="1"/>
    <col min="115" max="117" width="7.6640625" customWidth="1"/>
    <col min="118" max="118" width="8.109375" customWidth="1"/>
    <col min="119" max="119" width="9.5546875" customWidth="1"/>
    <col min="120" max="135" width="11.44140625" style="200"/>
  </cols>
  <sheetData>
    <row r="1" spans="1:130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entero!CT3</f>
        <v xml:space="preserve">2016                         A  fines de Sep* </v>
      </c>
      <c r="CU3" s="910" t="str">
        <f>entero!CU3</f>
        <v xml:space="preserve">2016                         A  fines de Oct* </v>
      </c>
      <c r="CV3" s="910" t="str">
        <f>entero!CV3</f>
        <v xml:space="preserve">2016                         A  fines de Nov* </v>
      </c>
      <c r="CW3" s="910" t="str">
        <f>entero!CW3</f>
        <v>2016                         A  fines de Dic* 15</v>
      </c>
      <c r="CX3" s="910" t="str">
        <f>entero!CX3</f>
        <v xml:space="preserve">2017                         A  fines de Ene* </v>
      </c>
      <c r="CY3" s="910" t="str">
        <f>entero!CY3</f>
        <v xml:space="preserve">2017                         A  fines de Feb* </v>
      </c>
      <c r="CZ3" s="910" t="str">
        <f>entero!CZ3</f>
        <v xml:space="preserve">2017                         A  fines de Mar* </v>
      </c>
      <c r="DA3" s="910" t="str">
        <f>entero!DA3</f>
        <v xml:space="preserve">2017                         A  fines de Abr* </v>
      </c>
      <c r="DB3" s="910" t="str">
        <f>entero!DB3</f>
        <v xml:space="preserve">2017                         A  fines de May* </v>
      </c>
      <c r="DC3" s="910" t="str">
        <f>entero!DC3</f>
        <v xml:space="preserve">2017                         A  fines de Jun* </v>
      </c>
      <c r="DD3" s="910" t="str">
        <f>entero!DD3</f>
        <v xml:space="preserve">2017                         A  fines de Jul* </v>
      </c>
      <c r="DE3" s="917" t="str">
        <f>entero!DE3</f>
        <v>Semana 1°</v>
      </c>
      <c r="DF3" s="917" t="str">
        <f>entero!DF3</f>
        <v>Semana 2°</v>
      </c>
      <c r="DG3" s="917" t="str">
        <f>entero!DG3</f>
        <v>Semana 3°</v>
      </c>
      <c r="DH3" s="917" t="str">
        <f>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5" t="s">
        <v>27</v>
      </c>
      <c r="DO3" s="9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3">
      <c r="C4" s="20"/>
      <c r="D4" s="92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3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3"/>
      <c r="BM4" s="913"/>
      <c r="BN4" s="913"/>
      <c r="BO4" s="913"/>
      <c r="BP4" s="913"/>
      <c r="BQ4" s="913"/>
      <c r="BR4" s="913"/>
      <c r="BS4" s="913"/>
      <c r="BT4" s="913"/>
      <c r="BU4" s="913"/>
      <c r="BV4" s="913"/>
      <c r="BW4" s="913"/>
      <c r="BX4" s="913"/>
      <c r="BY4" s="913"/>
      <c r="BZ4" s="913"/>
      <c r="CA4" s="913"/>
      <c r="CB4" s="913"/>
      <c r="CC4" s="913"/>
      <c r="CD4" s="913"/>
      <c r="CE4" s="913"/>
      <c r="CF4" s="913"/>
      <c r="CG4" s="913"/>
      <c r="CH4" s="913"/>
      <c r="CI4" s="913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 t="str">
        <f>entero!CT3</f>
        <v xml:space="preserve">2016                         A  fines de Sep* </v>
      </c>
      <c r="CU4" s="913" t="str">
        <f>entero!CU3</f>
        <v xml:space="preserve">2016                         A  fines de Oct* </v>
      </c>
      <c r="CV4" s="913" t="str">
        <f>entero!CV3</f>
        <v xml:space="preserve">2016                         A  fines de Nov* </v>
      </c>
      <c r="CW4" s="913" t="str">
        <f>entero!CW3</f>
        <v>2016                         A  fines de Dic* 15</v>
      </c>
      <c r="CX4" s="913" t="str">
        <f>entero!CX3</f>
        <v xml:space="preserve">2017                         A  fines de Ene* </v>
      </c>
      <c r="CY4" s="913" t="str">
        <f>entero!CY3</f>
        <v xml:space="preserve">2017                         A  fines de Feb* </v>
      </c>
      <c r="CZ4" s="913" t="str">
        <f>entero!CZ3</f>
        <v xml:space="preserve">2017                         A  fines de Mar* </v>
      </c>
      <c r="DA4" s="913" t="str">
        <f>entero!DA3</f>
        <v xml:space="preserve">2017                         A  fines de Abr* </v>
      </c>
      <c r="DB4" s="913" t="str">
        <f>entero!DB3</f>
        <v xml:space="preserve">2017                         A  fines de May* </v>
      </c>
      <c r="DC4" s="913" t="str">
        <f>entero!DC3</f>
        <v xml:space="preserve">2017                         A  fines de Jun* </v>
      </c>
      <c r="DD4" s="913" t="str">
        <f>entero!DD3</f>
        <v xml:space="preserve">2017                         A  fines de Jul* </v>
      </c>
      <c r="DE4" s="918" t="str">
        <f>entero!DE3</f>
        <v>Semana 1°</v>
      </c>
      <c r="DF4" s="918" t="str">
        <f>entero!DF3</f>
        <v>Semana 2°</v>
      </c>
      <c r="DG4" s="918" t="str">
        <f>entero!DG3</f>
        <v>Semana 3°</v>
      </c>
      <c r="DH4" s="918" t="str">
        <f>entero!DH3</f>
        <v>Semana 4°</v>
      </c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5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2" hidden="1" customHeight="1" x14ac:dyDescent="0.25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2" hidden="1" customHeight="1" x14ac:dyDescent="0.25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2" hidden="1" customHeight="1" x14ac:dyDescent="0.25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2" hidden="1" customHeight="1" x14ac:dyDescent="0.25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8" thickBot="1" x14ac:dyDescent="0.3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592">
        <f>+entero!DH91</f>
        <v>1079.9276894472505</v>
      </c>
      <c r="DI10" s="862">
        <f>+entero!DI91</f>
        <v>1079.9276894472505</v>
      </c>
      <c r="DJ10" s="862">
        <f>+entero!DJ91</f>
        <v>1079.9276894472505</v>
      </c>
      <c r="DK10" s="862">
        <f>+entero!DK91</f>
        <v>1079.9276894472505</v>
      </c>
      <c r="DL10" s="862">
        <f>+entero!DL91</f>
        <v>1079.9276894472505</v>
      </c>
      <c r="DM10" s="862">
        <f>+entero!DM91</f>
        <v>1120.6303623646254</v>
      </c>
      <c r="DN10" s="593">
        <f>+entero!DN91</f>
        <v>40.702672917374912</v>
      </c>
      <c r="DO10" s="838">
        <f>+entero!DO91</f>
        <v>3.7690183625357587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3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3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3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8" x14ac:dyDescent="0.3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3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ht="13.8" x14ac:dyDescent="0.3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ht="13.8" x14ac:dyDescent="0.3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ht="13.8" x14ac:dyDescent="0.3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ht="13.8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ht="13.8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ht="13.8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ht="13.8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ht="13.8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ht="13.8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ht="13.8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ht="13.8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ht="13.8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ht="13.8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ht="13.8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ht="13.8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ht="13.8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ht="13.8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ht="13.8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ht="13.8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ht="13.8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ht="13.8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ht="13.8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ht="13.8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ht="13.8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ht="13.8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ht="13.8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ht="13.8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ht="13.8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ht="13.8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ht="13.8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ht="13.8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ht="13.8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AK3:AK4"/>
    <mergeCell ref="DH3:DH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DF3:DF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I3:DM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4" width="7.88671875" customWidth="1"/>
    <col min="115" max="117" width="7.6640625" customWidth="1"/>
    <col min="118" max="118" width="1.5546875" customWidth="1"/>
    <col min="119" max="129" width="11.44140625" style="200"/>
  </cols>
  <sheetData>
    <row r="1" spans="1:128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2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+entero!CT3</f>
        <v xml:space="preserve">2016                         A  fines de Sep* </v>
      </c>
      <c r="CU3" s="910" t="str">
        <f>+entero!CU3</f>
        <v xml:space="preserve">2016                         A  fines de Oct* </v>
      </c>
      <c r="CV3" s="910" t="str">
        <f>+entero!CV3</f>
        <v xml:space="preserve">2016                         A  fines de Nov* </v>
      </c>
      <c r="CW3" s="910" t="str">
        <f>+entero!CW3</f>
        <v>2016                         A  fines de Dic* 15</v>
      </c>
      <c r="CX3" s="910" t="str">
        <f>+entero!CX3</f>
        <v xml:space="preserve">2017                         A  fines de Ene* </v>
      </c>
      <c r="CY3" s="910" t="str">
        <f>+entero!CY3</f>
        <v xml:space="preserve">2017                         A  fines de Feb* </v>
      </c>
      <c r="CZ3" s="910" t="str">
        <f>+entero!CZ3</f>
        <v xml:space="preserve">2017                         A  fines de Mar* </v>
      </c>
      <c r="DA3" s="910" t="str">
        <f>+entero!DA3</f>
        <v xml:space="preserve">2017                         A  fines de Abr* </v>
      </c>
      <c r="DB3" s="910" t="str">
        <f>+entero!DB3</f>
        <v xml:space="preserve">2017                         A  fines de May* </v>
      </c>
      <c r="DC3" s="910" t="str">
        <f>+entero!DC3</f>
        <v xml:space="preserve">2017                         A  fines de Jun* </v>
      </c>
      <c r="DD3" s="910" t="str">
        <f>+entero!DD3</f>
        <v xml:space="preserve">2017                         A  fines de Jul* </v>
      </c>
      <c r="DE3" s="917" t="str">
        <f>+entero!DE3</f>
        <v>Semana 1°</v>
      </c>
      <c r="DF3" s="917" t="str">
        <f>+entero!DF3</f>
        <v>Semana 2°</v>
      </c>
      <c r="DG3" s="917" t="str">
        <f>+entero!DG3</f>
        <v>Semana 3°</v>
      </c>
      <c r="DH3" s="91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3">
      <c r="C4" s="20"/>
      <c r="D4" s="92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3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3"/>
      <c r="BM4" s="913"/>
      <c r="BN4" s="913"/>
      <c r="BO4" s="913"/>
      <c r="BP4" s="913"/>
      <c r="BQ4" s="913"/>
      <c r="BR4" s="913"/>
      <c r="BS4" s="913"/>
      <c r="BT4" s="913"/>
      <c r="BU4" s="913"/>
      <c r="BV4" s="913"/>
      <c r="BW4" s="913"/>
      <c r="BX4" s="913"/>
      <c r="BY4" s="913"/>
      <c r="BZ4" s="913"/>
      <c r="CA4" s="913"/>
      <c r="CB4" s="913"/>
      <c r="CC4" s="913"/>
      <c r="CD4" s="913"/>
      <c r="CE4" s="913"/>
      <c r="CF4" s="913"/>
      <c r="CG4" s="913"/>
      <c r="CH4" s="913"/>
      <c r="CI4" s="913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913"/>
      <c r="CZ4" s="913"/>
      <c r="DA4" s="913"/>
      <c r="DB4" s="913"/>
      <c r="DC4" s="913"/>
      <c r="DD4" s="913"/>
      <c r="DE4" s="918"/>
      <c r="DF4" s="918"/>
      <c r="DG4" s="918"/>
      <c r="DH4" s="91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5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5">
      <c r="A6" s="3"/>
      <c r="B6" s="90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5">
      <c r="A7" s="3"/>
      <c r="B7" s="90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5">
      <c r="A8" s="3"/>
      <c r="B8" s="90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5">
      <c r="A9" s="3"/>
      <c r="B9" s="90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5">
      <c r="A10" s="3"/>
      <c r="B10" s="90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5">
      <c r="A11" s="3"/>
      <c r="B11" s="90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5">
      <c r="A12" s="3"/>
      <c r="B12" s="90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5">
      <c r="A13" s="3"/>
      <c r="B13" s="90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5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8" x14ac:dyDescent="0.25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5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4" thickBot="1" x14ac:dyDescent="0.3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5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8" x14ac:dyDescent="0.25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8" thickBot="1" x14ac:dyDescent="0.3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8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8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V3:V4"/>
    <mergeCell ref="Z3:Z4"/>
    <mergeCell ref="AQ3:AQ4"/>
    <mergeCell ref="AJ3:AJ4"/>
    <mergeCell ref="DH3:DH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G4"/>
    <mergeCell ref="DF3:DF4"/>
    <mergeCell ref="DI3:DM3"/>
    <mergeCell ref="DE3:DE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2017-03-07T20:10:25Z</cp:lastPrinted>
  <dcterms:created xsi:type="dcterms:W3CDTF">2002-08-27T17:11:09Z</dcterms:created>
  <dcterms:modified xsi:type="dcterms:W3CDTF">2017-09-07T21:40:04Z</dcterms:modified>
</cp:coreProperties>
</file>