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pub'!$B$1:$BM$18</definedName>
    <definedName name="_xlnm.Print_Area" localSheetId="0">entero!$B$1:$BM$132</definedName>
    <definedName name="_xlnm.Print_Area" localSheetId="2">monet!$D$1:$BM$29</definedName>
    <definedName name="_xlnm.Print_Area" localSheetId="3">omas!$B$1:$BM$23</definedName>
    <definedName name="_xlnm.Print_Area" localSheetId="4">opersisfinanc!$B$1:$BM$45</definedName>
    <definedName name="_xlnm.Print_Area" localSheetId="1">opex!$C$1:$BM$27</definedName>
    <definedName name="_xlnm.Print_Area" localSheetId="7">'precios y tasas'!$B$1:$BK$26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6" i="1" l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M96" i="1"/>
  <c r="BM95" i="1"/>
  <c r="BM94" i="1"/>
  <c r="BM92" i="1"/>
  <c r="BM91" i="1"/>
  <c r="BM90" i="1"/>
  <c r="BM89" i="1"/>
  <c r="BM86" i="1"/>
  <c r="BM84" i="1"/>
  <c r="BM83" i="1"/>
  <c r="BM80" i="1"/>
  <c r="BM79" i="1"/>
  <c r="BM76" i="1"/>
  <c r="BM74" i="1"/>
  <c r="BM73" i="1"/>
  <c r="BM72" i="1"/>
  <c r="BM71" i="1"/>
  <c r="BM70" i="1"/>
  <c r="BM69" i="1"/>
  <c r="BM68" i="1"/>
  <c r="BM67" i="1"/>
  <c r="BM64" i="1"/>
  <c r="BM62" i="1"/>
  <c r="BM60" i="1"/>
  <c r="BM58" i="1"/>
  <c r="BM56" i="1"/>
  <c r="BM54" i="1"/>
  <c r="BM53" i="1"/>
  <c r="BM43" i="1"/>
  <c r="BM42" i="1"/>
  <c r="BM41" i="1"/>
  <c r="BM39" i="1"/>
  <c r="BM38" i="1"/>
  <c r="BM37" i="1"/>
  <c r="BM30" i="1"/>
  <c r="BM29" i="1"/>
  <c r="BM28" i="1"/>
  <c r="BM17" i="1"/>
  <c r="BM16" i="1"/>
  <c r="BM14" i="1"/>
  <c r="BM13" i="1"/>
  <c r="BM12" i="1"/>
  <c r="BM11" i="1"/>
  <c r="BM10" i="1"/>
  <c r="BM9" i="1"/>
  <c r="BM8" i="1"/>
  <c r="BM7" i="1"/>
  <c r="BL96" i="1"/>
  <c r="BL95" i="1"/>
  <c r="BL94" i="1"/>
  <c r="BL92" i="1"/>
  <c r="BL91" i="1"/>
  <c r="BL90" i="1"/>
  <c r="BL89" i="1"/>
  <c r="BL86" i="1"/>
  <c r="BL84" i="1"/>
  <c r="BL83" i="1"/>
  <c r="BL80" i="1"/>
  <c r="BL79" i="1"/>
  <c r="BL76" i="1"/>
  <c r="BL74" i="1"/>
  <c r="BL73" i="1"/>
  <c r="BL72" i="1"/>
  <c r="BL71" i="1"/>
  <c r="BL70" i="1"/>
  <c r="BL69" i="1"/>
  <c r="BL68" i="1"/>
  <c r="BL67" i="1"/>
  <c r="BL64" i="1"/>
  <c r="BL62" i="1"/>
  <c r="BL60" i="1"/>
  <c r="BL58" i="1"/>
  <c r="BL56" i="1"/>
  <c r="BL54" i="1"/>
  <c r="BL53" i="1"/>
  <c r="BL43" i="1"/>
  <c r="BL42" i="1"/>
  <c r="BL41" i="1"/>
  <c r="BL39" i="1"/>
  <c r="BL38" i="1"/>
  <c r="BL37" i="1"/>
  <c r="BL30" i="1"/>
  <c r="BL29" i="1"/>
  <c r="BL28" i="1"/>
  <c r="BL17" i="1"/>
  <c r="BL16" i="1"/>
  <c r="BL14" i="1"/>
  <c r="BL13" i="1"/>
  <c r="BL12" i="1"/>
  <c r="BL11" i="1"/>
  <c r="BL10" i="1"/>
  <c r="BL9" i="1"/>
  <c r="BL8" i="1"/>
  <c r="BL7" i="1"/>
  <c r="BF82" i="1"/>
  <c r="BF6" i="5" s="1"/>
  <c r="BF49" i="1"/>
  <c r="BF17" i="7" s="1"/>
  <c r="BF46" i="1"/>
  <c r="BF26" i="1"/>
  <c r="BF10" i="8" s="1"/>
  <c r="BF25" i="1"/>
  <c r="BF9" i="8" s="1"/>
  <c r="BF24" i="1"/>
  <c r="BF8" i="8" s="1"/>
  <c r="BF23" i="1"/>
  <c r="BF7" i="8" s="1"/>
  <c r="BF22" i="1"/>
  <c r="BF6" i="8" s="1"/>
  <c r="BF15" i="1"/>
  <c r="BF14" i="9" s="1"/>
  <c r="BF45" i="1" l="1"/>
  <c r="BF13" i="7" s="1"/>
  <c r="BF14" i="7"/>
  <c r="BM23" i="1"/>
  <c r="BL23" i="1"/>
  <c r="BM25" i="1"/>
  <c r="BL25" i="1"/>
  <c r="BM22" i="1"/>
  <c r="BL22" i="1"/>
  <c r="BM24" i="1"/>
  <c r="BL24" i="1"/>
  <c r="BM26" i="1"/>
  <c r="BL26" i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82" i="1"/>
  <c r="BE6" i="5" s="1"/>
  <c r="BE49" i="1"/>
  <c r="BE17" i="7" s="1"/>
  <c r="BE46" i="1"/>
  <c r="BE14" i="7" s="1"/>
  <c r="BE26" i="1"/>
  <c r="BE10" i="8" s="1"/>
  <c r="BE25" i="1"/>
  <c r="BE9" i="8" s="1"/>
  <c r="BE24" i="1"/>
  <c r="BE8" i="8" s="1"/>
  <c r="BE23" i="1"/>
  <c r="BE7" i="8" s="1"/>
  <c r="BE22" i="1"/>
  <c r="BE6" i="8" s="1"/>
  <c r="BE15" i="1"/>
  <c r="BE14" i="9" s="1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82" i="1"/>
  <c r="BD6" i="5" s="1"/>
  <c r="BD49" i="1"/>
  <c r="BD17" i="7" s="1"/>
  <c r="BD46" i="1"/>
  <c r="BD26" i="1"/>
  <c r="BD10" i="8" s="1"/>
  <c r="BD25" i="1"/>
  <c r="BD9" i="8" s="1"/>
  <c r="BD24" i="1"/>
  <c r="BD8" i="8" s="1"/>
  <c r="BD23" i="1"/>
  <c r="BD7" i="8" s="1"/>
  <c r="BD22" i="1"/>
  <c r="BD6" i="8" s="1"/>
  <c r="BD15" i="1"/>
  <c r="BD14" i="9" s="1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82" i="1"/>
  <c r="BC6" i="5" s="1"/>
  <c r="BC49" i="1"/>
  <c r="BC17" i="7" s="1"/>
  <c r="BC46" i="1"/>
  <c r="BC26" i="1"/>
  <c r="BC10" i="8" s="1"/>
  <c r="BC25" i="1"/>
  <c r="BC9" i="8" s="1"/>
  <c r="BC24" i="1"/>
  <c r="BC8" i="8" s="1"/>
  <c r="BC23" i="1"/>
  <c r="BC7" i="8" s="1"/>
  <c r="BC22" i="1"/>
  <c r="BC6" i="8" s="1"/>
  <c r="BC15" i="1"/>
  <c r="BC14" i="9" s="1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82" i="1" l="1"/>
  <c r="BB6" i="5" s="1"/>
  <c r="BB49" i="1"/>
  <c r="BB17" i="7" s="1"/>
  <c r="BB46" i="1"/>
  <c r="BB26" i="1"/>
  <c r="BB10" i="8" s="1"/>
  <c r="BB25" i="1"/>
  <c r="BB9" i="8" s="1"/>
  <c r="BB24" i="1"/>
  <c r="BB8" i="8" s="1"/>
  <c r="BB23" i="1"/>
  <c r="BB7" i="8" s="1"/>
  <c r="BB22" i="1"/>
  <c r="BB6" i="8" s="1"/>
  <c r="BB15" i="1"/>
  <c r="BB14" i="9" s="1"/>
  <c r="BB45" i="1" l="1"/>
  <c r="BB13" i="7" s="1"/>
  <c r="BB14" i="7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82" i="1"/>
  <c r="BA6" i="5" s="1"/>
  <c r="BA49" i="1"/>
  <c r="BA17" i="7" s="1"/>
  <c r="BA46" i="1"/>
  <c r="BA26" i="1"/>
  <c r="BA10" i="8" s="1"/>
  <c r="BA25" i="1"/>
  <c r="BA9" i="8" s="1"/>
  <c r="BA24" i="1"/>
  <c r="BA8" i="8" s="1"/>
  <c r="BA23" i="1"/>
  <c r="BA7" i="8" s="1"/>
  <c r="BA22" i="1"/>
  <c r="BA6" i="8" s="1"/>
  <c r="BA15" i="1"/>
  <c r="BA14" i="9" s="1"/>
  <c r="BA45" i="1" l="1"/>
  <c r="BA13" i="7" s="1"/>
  <c r="BA14" i="7"/>
  <c r="BK46" i="1" l="1"/>
  <c r="AZ82" i="1" l="1"/>
  <c r="AZ49" i="1"/>
  <c r="AZ46" i="1"/>
  <c r="AZ26" i="1"/>
  <c r="AZ25" i="1"/>
  <c r="AZ24" i="1"/>
  <c r="AZ23" i="1"/>
  <c r="AZ22" i="1"/>
  <c r="AZ15" i="1"/>
  <c r="AZ45" i="1" l="1"/>
  <c r="BH15" i="1" l="1"/>
  <c r="BG15" i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BI15" i="1" l="1"/>
  <c r="BK15" i="1" l="1"/>
  <c r="BM15" i="1" l="1"/>
  <c r="BL15" i="1"/>
  <c r="AY3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82" i="1"/>
  <c r="AY6" i="5" s="1"/>
  <c r="AY49" i="1"/>
  <c r="AY17" i="7" s="1"/>
  <c r="AY46" i="1"/>
  <c r="AY14" i="7" s="1"/>
  <c r="AY26" i="1"/>
  <c r="AY10" i="8" s="1"/>
  <c r="AY25" i="1"/>
  <c r="AY9" i="8" s="1"/>
  <c r="AY24" i="1"/>
  <c r="AY8" i="8" s="1"/>
  <c r="AY23" i="1"/>
  <c r="AY7" i="8" s="1"/>
  <c r="AY22" i="1"/>
  <c r="AY6" i="8" s="1"/>
  <c r="AY15" i="1"/>
  <c r="AY14" i="9" s="1"/>
  <c r="AY45" i="1" l="1"/>
  <c r="AY13" i="7" s="1"/>
  <c r="BJ15" i="1"/>
  <c r="BG46" i="1" l="1"/>
  <c r="BG49" i="1"/>
  <c r="BG45" i="1" l="1"/>
  <c r="BK49" i="1"/>
  <c r="BJ49" i="1"/>
  <c r="BI49" i="1"/>
  <c r="BH49" i="1"/>
  <c r="AX82" i="1" l="1"/>
  <c r="AX46" i="1"/>
  <c r="AX45" i="1" s="1"/>
  <c r="AX13" i="7" s="1"/>
  <c r="AX26" i="1"/>
  <c r="AX10" i="8" s="1"/>
  <c r="AX25" i="1"/>
  <c r="AX24" i="1"/>
  <c r="AX8" i="8" s="1"/>
  <c r="AX23" i="1"/>
  <c r="AX22" i="1"/>
  <c r="AX6" i="8" s="1"/>
  <c r="AX15" i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26" i="1" l="1"/>
  <c r="AW25" i="1"/>
  <c r="AW24" i="1"/>
  <c r="AW23" i="1"/>
  <c r="AW22" i="1"/>
  <c r="AV26" i="1"/>
  <c r="AV25" i="1"/>
  <c r="AV24" i="1"/>
  <c r="AV23" i="1"/>
  <c r="AV22" i="1"/>
  <c r="AU26" i="1"/>
  <c r="AU25" i="1"/>
  <c r="AU24" i="1"/>
  <c r="AU23" i="1"/>
  <c r="AU22" i="1"/>
  <c r="AT26" i="1"/>
  <c r="AT25" i="1"/>
  <c r="AT24" i="1"/>
  <c r="AT23" i="1"/>
  <c r="AT22" i="1"/>
  <c r="AW46" i="1" l="1"/>
  <c r="AW45" i="1" s="1"/>
  <c r="AW82" i="1" l="1"/>
  <c r="AW13" i="7"/>
  <c r="AW15" i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BK45" i="1" l="1"/>
  <c r="BJ46" i="1"/>
  <c r="BJ45" i="1" s="1"/>
  <c r="BI46" i="1"/>
  <c r="BI45" i="1" s="1"/>
  <c r="BH46" i="1"/>
  <c r="BH45" i="1" l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46" i="1" l="1"/>
  <c r="AV14" i="7" s="1"/>
  <c r="AV45" i="1" l="1"/>
  <c r="AV13" i="7" s="1"/>
  <c r="AV82" i="1"/>
  <c r="AV6" i="5" s="1"/>
  <c r="AV10" i="8"/>
  <c r="AV9" i="8"/>
  <c r="AV8" i="8"/>
  <c r="AV7" i="8"/>
  <c r="AV6" i="8"/>
  <c r="AV15" i="1"/>
  <c r="AV14" i="9" s="1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06" i="1" l="1"/>
  <c r="AU14" i="4" s="1"/>
  <c r="AT89" i="1" l="1"/>
  <c r="AU82" i="1" l="1"/>
  <c r="AU6" i="5" s="1"/>
  <c r="AU46" i="1"/>
  <c r="AU14" i="7" s="1"/>
  <c r="AU10" i="8"/>
  <c r="AU9" i="8"/>
  <c r="AU8" i="8"/>
  <c r="AU7" i="8"/>
  <c r="AU6" i="8"/>
  <c r="AU15" i="1"/>
  <c r="AU14" i="9" s="1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5" i="1" l="1"/>
  <c r="AT14" i="9" s="1"/>
  <c r="AT6" i="8"/>
  <c r="AT7" i="8"/>
  <c r="AT8" i="8"/>
  <c r="AT9" i="8"/>
  <c r="AT10" i="8"/>
  <c r="AT46" i="1"/>
  <c r="AT82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82" i="1" l="1"/>
  <c r="AS6" i="5" s="1"/>
  <c r="AS49" i="1"/>
  <c r="AS17" i="7" s="1"/>
  <c r="AS46" i="1"/>
  <c r="AS26" i="1"/>
  <c r="AS10" i="8" s="1"/>
  <c r="AS25" i="1"/>
  <c r="AS9" i="8" s="1"/>
  <c r="AS24" i="1"/>
  <c r="AS8" i="8" s="1"/>
  <c r="AS23" i="1"/>
  <c r="AS7" i="8" s="1"/>
  <c r="AS22" i="1"/>
  <c r="AS6" i="8" s="1"/>
  <c r="AS15" i="1"/>
  <c r="AS14" i="9" s="1"/>
  <c r="AS45" i="1" l="1"/>
  <c r="AS13" i="7" s="1"/>
  <c r="AS14" i="7"/>
  <c r="BK82" i="1"/>
  <c r="BM82" i="1" l="1"/>
  <c r="BL82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82" i="1" l="1"/>
  <c r="AR6" i="5" s="1"/>
  <c r="AR49" i="1"/>
  <c r="AR17" i="7" s="1"/>
  <c r="AR46" i="1"/>
  <c r="AR26" i="1"/>
  <c r="AR10" i="8" s="1"/>
  <c r="AR25" i="1"/>
  <c r="AR9" i="8" s="1"/>
  <c r="AR24" i="1"/>
  <c r="AR8" i="8" s="1"/>
  <c r="AR23" i="1"/>
  <c r="AR7" i="8" s="1"/>
  <c r="AR22" i="1"/>
  <c r="AR6" i="8" s="1"/>
  <c r="AR15" i="1"/>
  <c r="AR14" i="9" s="1"/>
  <c r="AR45" i="1" l="1"/>
  <c r="AR13" i="7" s="1"/>
  <c r="AR14" i="7"/>
  <c r="AQ26" i="1" l="1"/>
  <c r="AQ25" i="1"/>
  <c r="AQ24" i="1"/>
  <c r="AQ23" i="1"/>
  <c r="AQ22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82" i="1"/>
  <c r="AQ6" i="5" s="1"/>
  <c r="AQ10" i="8"/>
  <c r="AQ9" i="8"/>
  <c r="AQ8" i="8"/>
  <c r="AQ7" i="8"/>
  <c r="AQ6" i="8"/>
  <c r="AQ15" i="1"/>
  <c r="AQ14" i="9" s="1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82" i="1"/>
  <c r="AP6" i="5" s="1"/>
  <c r="AP26" i="1"/>
  <c r="AP10" i="8" s="1"/>
  <c r="AP25" i="1"/>
  <c r="AP9" i="8" s="1"/>
  <c r="AP24" i="1"/>
  <c r="AP8" i="8" s="1"/>
  <c r="AP23" i="1"/>
  <c r="AP7" i="8" s="1"/>
  <c r="AP22" i="1"/>
  <c r="AP6" i="8" s="1"/>
  <c r="AP15" i="1"/>
  <c r="AP14" i="9" s="1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82" i="1" l="1"/>
  <c r="AO6" i="5" s="1"/>
  <c r="AO49" i="1"/>
  <c r="AO17" i="7" s="1"/>
  <c r="AO46" i="1"/>
  <c r="AO14" i="7" s="1"/>
  <c r="AO26" i="1"/>
  <c r="AO10" i="8" s="1"/>
  <c r="AO25" i="1"/>
  <c r="AO9" i="8" s="1"/>
  <c r="AO24" i="1"/>
  <c r="AO8" i="8" s="1"/>
  <c r="AO23" i="1"/>
  <c r="AO7" i="8" s="1"/>
  <c r="AO22" i="1"/>
  <c r="AO6" i="8" s="1"/>
  <c r="AO15" i="1"/>
  <c r="AO14" i="9" s="1"/>
  <c r="AO45" i="1" l="1"/>
  <c r="AO13" i="7" s="1"/>
  <c r="AN89" i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82" i="1" l="1"/>
  <c r="AN6" i="5" s="1"/>
  <c r="AN26" i="1"/>
  <c r="AN10" i="8" s="1"/>
  <c r="AN25" i="1"/>
  <c r="AN9" i="8" s="1"/>
  <c r="AN24" i="1"/>
  <c r="AN8" i="8" s="1"/>
  <c r="AN23" i="1"/>
  <c r="AN7" i="8" s="1"/>
  <c r="AN22" i="1"/>
  <c r="AN6" i="8" s="1"/>
  <c r="AN15" i="1"/>
  <c r="AN14" i="9" s="1"/>
  <c r="AM82" i="1" l="1"/>
  <c r="AM6" i="5" s="1"/>
  <c r="AM26" i="1"/>
  <c r="AM10" i="8" s="1"/>
  <c r="AM25" i="1"/>
  <c r="AM9" i="8" s="1"/>
  <c r="AM24" i="1"/>
  <c r="AM8" i="8" s="1"/>
  <c r="AM23" i="1"/>
  <c r="AM7" i="8" s="1"/>
  <c r="AM22" i="1"/>
  <c r="AM6" i="8" s="1"/>
  <c r="AM15" i="1"/>
  <c r="AM14" i="9" s="1"/>
  <c r="BJ82" i="1" l="1"/>
  <c r="BI82" i="1"/>
  <c r="BH82" i="1"/>
  <c r="BG82" i="1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82" i="1" l="1"/>
  <c r="AL6" i="5" s="1"/>
  <c r="AL49" i="1"/>
  <c r="AL17" i="7" s="1"/>
  <c r="AL46" i="1"/>
  <c r="AL26" i="1"/>
  <c r="AL10" i="8" s="1"/>
  <c r="AL25" i="1"/>
  <c r="AL9" i="8" s="1"/>
  <c r="AL24" i="1"/>
  <c r="AL8" i="8" s="1"/>
  <c r="AL23" i="1"/>
  <c r="AL7" i="8" s="1"/>
  <c r="AL22" i="1"/>
  <c r="AL6" i="8" s="1"/>
  <c r="AL15" i="1"/>
  <c r="AL14" i="9" s="1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46" i="1" l="1"/>
  <c r="AK26" i="1"/>
  <c r="AK10" i="8" s="1"/>
  <c r="AK25" i="1"/>
  <c r="AK9" i="8" s="1"/>
  <c r="AK24" i="1"/>
  <c r="AK8" i="8" s="1"/>
  <c r="AK23" i="1"/>
  <c r="AK7" i="8" s="1"/>
  <c r="AK22" i="1"/>
  <c r="AK6" i="8" s="1"/>
  <c r="AK15" i="1"/>
  <c r="AK14" i="9" s="1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26" i="1" l="1"/>
  <c r="AJ10" i="8" s="1"/>
  <c r="AJ25" i="1"/>
  <c r="AJ9" i="8" s="1"/>
  <c r="AJ24" i="1"/>
  <c r="AJ8" i="8" s="1"/>
  <c r="AJ23" i="1"/>
  <c r="AJ7" i="8" s="1"/>
  <c r="AJ22" i="1"/>
  <c r="AJ6" i="8" s="1"/>
  <c r="AJ82" i="1" l="1"/>
  <c r="AJ6" i="5" s="1"/>
  <c r="AJ15" i="1"/>
  <c r="AJ14" i="9" s="1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82" i="1" l="1"/>
  <c r="AI6" i="5" s="1"/>
  <c r="AI49" i="1"/>
  <c r="AI17" i="7" s="1"/>
  <c r="AI46" i="1"/>
  <c r="AI14" i="7" s="1"/>
  <c r="AI26" i="1"/>
  <c r="AI10" i="8" s="1"/>
  <c r="AI25" i="1"/>
  <c r="AI9" i="8" s="1"/>
  <c r="AI24" i="1"/>
  <c r="AI8" i="8" s="1"/>
  <c r="AI23" i="1"/>
  <c r="AI7" i="8" s="1"/>
  <c r="AI22" i="1"/>
  <c r="AI6" i="8" s="1"/>
  <c r="AI15" i="1"/>
  <c r="AI14" i="9" s="1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49" i="1" l="1"/>
  <c r="AH17" i="7" s="1"/>
  <c r="AH46" i="1"/>
  <c r="AH14" i="7" s="1"/>
  <c r="AH26" i="1"/>
  <c r="AH10" i="8" s="1"/>
  <c r="AH25" i="1"/>
  <c r="AH9" i="8" s="1"/>
  <c r="AH24" i="1"/>
  <c r="AH8" i="8" s="1"/>
  <c r="AH23" i="1"/>
  <c r="AH7" i="8" s="1"/>
  <c r="AH22" i="1"/>
  <c r="AH6" i="8" s="1"/>
  <c r="AH15" i="1"/>
  <c r="AH14" i="9" s="1"/>
  <c r="AH82" i="1"/>
  <c r="AH6" i="5" s="1"/>
  <c r="AH45" i="1" l="1"/>
  <c r="AH13" i="7" s="1"/>
  <c r="AG82" i="1"/>
  <c r="AG49" i="1"/>
  <c r="AG46" i="1"/>
  <c r="AG26" i="1"/>
  <c r="AG10" i="8" s="1"/>
  <c r="AG25" i="1"/>
  <c r="AG9" i="8" s="1"/>
  <c r="AG24" i="1"/>
  <c r="AG8" i="8" s="1"/>
  <c r="AG23" i="1"/>
  <c r="AG7" i="8" s="1"/>
  <c r="AG22" i="1"/>
  <c r="AG6" i="8" s="1"/>
  <c r="AG15" i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26" i="1" l="1"/>
  <c r="AF10" i="8" s="1"/>
  <c r="AF24" i="1"/>
  <c r="AF8" i="8" s="1"/>
  <c r="AF23" i="1"/>
  <c r="AF7" i="8" s="1"/>
  <c r="AF22" i="1"/>
  <c r="AF6" i="8" s="1"/>
  <c r="AF82" i="1" l="1"/>
  <c r="AF6" i="5" s="1"/>
  <c r="AF49" i="1"/>
  <c r="AF17" i="7" s="1"/>
  <c r="AF46" i="1"/>
  <c r="AF25" i="1"/>
  <c r="AF9" i="8" s="1"/>
  <c r="AF15" i="1"/>
  <c r="AF14" i="9" s="1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82" i="1" l="1"/>
  <c r="AE6" i="5" s="1"/>
  <c r="AE49" i="1"/>
  <c r="AE17" i="7" s="1"/>
  <c r="AE46" i="1"/>
  <c r="AE14" i="7" s="1"/>
  <c r="AE26" i="1"/>
  <c r="AE10" i="8" s="1"/>
  <c r="AE25" i="1"/>
  <c r="AE9" i="8" s="1"/>
  <c r="AE24" i="1"/>
  <c r="AE8" i="8" s="1"/>
  <c r="AE23" i="1"/>
  <c r="AE7" i="8" s="1"/>
  <c r="AE22" i="1"/>
  <c r="AE6" i="8" s="1"/>
  <c r="AE15" i="1"/>
  <c r="AE14" i="9" s="1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82" i="1" l="1"/>
  <c r="AD6" i="5" s="1"/>
  <c r="AD49" i="1"/>
  <c r="AD17" i="7" s="1"/>
  <c r="AD46" i="1"/>
  <c r="AD14" i="7" s="1"/>
  <c r="AD26" i="1"/>
  <c r="AD10" i="8" s="1"/>
  <c r="AD25" i="1"/>
  <c r="AD9" i="8" s="1"/>
  <c r="AD24" i="1"/>
  <c r="AD8" i="8" s="1"/>
  <c r="AD23" i="1"/>
  <c r="AD7" i="8" s="1"/>
  <c r="AD22" i="1"/>
  <c r="AD6" i="8" s="1"/>
  <c r="AD15" i="1"/>
  <c r="AD14" i="9" s="1"/>
  <c r="AC82" i="1" l="1"/>
  <c r="AC6" i="5" s="1"/>
  <c r="AC49" i="1"/>
  <c r="AC46" i="1"/>
  <c r="AC26" i="1"/>
  <c r="AC25" i="1"/>
  <c r="AC9" i="8" s="1"/>
  <c r="AC24" i="1"/>
  <c r="AC8" i="8" s="1"/>
  <c r="AC23" i="1"/>
  <c r="AC7" i="8" s="1"/>
  <c r="AC22" i="1"/>
  <c r="AC15" i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82" i="1" l="1"/>
  <c r="AB6" i="5" s="1"/>
  <c r="AB49" i="1"/>
  <c r="AB17" i="7" s="1"/>
  <c r="AB46" i="1"/>
  <c r="AB26" i="1"/>
  <c r="AB10" i="8" s="1"/>
  <c r="AB25" i="1"/>
  <c r="AB9" i="8" s="1"/>
  <c r="AB24" i="1"/>
  <c r="AB8" i="8" s="1"/>
  <c r="AB23" i="1"/>
  <c r="AB7" i="8" s="1"/>
  <c r="AB22" i="1"/>
  <c r="AB6" i="8" s="1"/>
  <c r="AB15" i="1"/>
  <c r="AB14" i="9" s="1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82" i="1"/>
  <c r="AA6" i="5" s="1"/>
  <c r="AA49" i="1"/>
  <c r="AA17" i="7" s="1"/>
  <c r="AA46" i="1"/>
  <c r="AA26" i="1"/>
  <c r="AA10" i="8" s="1"/>
  <c r="AA25" i="1"/>
  <c r="AA24" i="1"/>
  <c r="AA8" i="8" s="1"/>
  <c r="AA23" i="1"/>
  <c r="AA22" i="1"/>
  <c r="AA6" i="8" s="1"/>
  <c r="AA15" i="1"/>
  <c r="AA14" i="9" s="1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82" i="1" l="1"/>
  <c r="Z6" i="5" s="1"/>
  <c r="Z49" i="1"/>
  <c r="Z17" i="7" s="1"/>
  <c r="Z46" i="1"/>
  <c r="Z14" i="7" s="1"/>
  <c r="Z26" i="1"/>
  <c r="Z10" i="8" s="1"/>
  <c r="Z25" i="1"/>
  <c r="Z9" i="8" s="1"/>
  <c r="Z24" i="1"/>
  <c r="Z8" i="8" s="1"/>
  <c r="Z23" i="1"/>
  <c r="Z7" i="8" s="1"/>
  <c r="Z22" i="1"/>
  <c r="Z6" i="8" s="1"/>
  <c r="Z15" i="1"/>
  <c r="Z14" i="9" s="1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26" i="1" l="1"/>
  <c r="Y10" i="8" s="1"/>
  <c r="Y25" i="1"/>
  <c r="Y9" i="8" s="1"/>
  <c r="Y24" i="1"/>
  <c r="Y8" i="8" s="1"/>
  <c r="Y23" i="1"/>
  <c r="Y7" i="8" s="1"/>
  <c r="Y22" i="1"/>
  <c r="Y6" i="8" s="1"/>
  <c r="BH4" i="1"/>
  <c r="BI4" i="1" s="1"/>
  <c r="BJ4" i="1" s="1"/>
  <c r="BK4" i="1" s="1"/>
  <c r="Y82" i="1"/>
  <c r="Y6" i="5" s="1"/>
  <c r="Y49" i="1"/>
  <c r="Y17" i="7" s="1"/>
  <c r="Y46" i="1"/>
  <c r="Y14" i="7" s="1"/>
  <c r="Y15" i="1"/>
  <c r="Y14" i="9" s="1"/>
  <c r="Y45" i="1" l="1"/>
  <c r="Y13" i="7" s="1"/>
  <c r="BG4" i="4" l="1"/>
  <c r="BG4" i="10"/>
  <c r="BG4" i="9"/>
  <c r="BG4" i="7"/>
  <c r="BH4" i="4"/>
  <c r="BG4" i="5"/>
  <c r="BG4" i="6"/>
  <c r="BG4" i="8"/>
  <c r="X49" i="1"/>
  <c r="X46" i="1"/>
  <c r="X26" i="1"/>
  <c r="X10" i="8" s="1"/>
  <c r="X25" i="1"/>
  <c r="X24" i="1"/>
  <c r="X8" i="8" s="1"/>
  <c r="X23" i="1"/>
  <c r="X7" i="8" s="1"/>
  <c r="X22" i="1"/>
  <c r="X6" i="8" s="1"/>
  <c r="X15" i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82" i="1"/>
  <c r="X6" i="5" s="1"/>
  <c r="BI4" i="4" l="1"/>
  <c r="BH4" i="7"/>
  <c r="BH4" i="9"/>
  <c r="BH4" i="6"/>
  <c r="BH4" i="8"/>
  <c r="BH4" i="5"/>
  <c r="BH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26" i="1"/>
  <c r="W10" i="8" s="1"/>
  <c r="W25" i="1"/>
  <c r="W9" i="8" s="1"/>
  <c r="W24" i="1"/>
  <c r="W8" i="8" s="1"/>
  <c r="W23" i="1"/>
  <c r="W7" i="8" s="1"/>
  <c r="W22" i="1"/>
  <c r="W6" i="8" s="1"/>
  <c r="W82" i="1"/>
  <c r="W6" i="5" s="1"/>
  <c r="W49" i="1"/>
  <c r="W17" i="7" s="1"/>
  <c r="W46" i="1"/>
  <c r="W15" i="1"/>
  <c r="W14" i="9" s="1"/>
  <c r="BK4" i="4" l="1"/>
  <c r="BJ4" i="7"/>
  <c r="BJ4" i="10"/>
  <c r="BJ4" i="9"/>
  <c r="BJ4" i="6"/>
  <c r="BJ4" i="8"/>
  <c r="BJ4" i="5"/>
  <c r="W45" i="1"/>
  <c r="W13" i="7" s="1"/>
  <c r="W14" i="7"/>
  <c r="V26" i="1"/>
  <c r="V10" i="8" s="1"/>
  <c r="V25" i="1"/>
  <c r="V9" i="8" s="1"/>
  <c r="V24" i="1"/>
  <c r="V8" i="8" s="1"/>
  <c r="V23" i="1"/>
  <c r="V7" i="8" s="1"/>
  <c r="V22" i="1"/>
  <c r="V6" i="8" s="1"/>
  <c r="V82" i="1"/>
  <c r="V6" i="5" s="1"/>
  <c r="V49" i="1"/>
  <c r="V17" i="7" s="1"/>
  <c r="V46" i="1"/>
  <c r="V15" i="1"/>
  <c r="V14" i="9" s="1"/>
  <c r="BK4" i="10" l="1"/>
  <c r="BK4" i="9"/>
  <c r="BK4" i="7"/>
  <c r="BK4" i="5"/>
  <c r="BK4" i="6"/>
  <c r="BK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49" i="1" l="1"/>
  <c r="U17" i="7" s="1"/>
  <c r="U46" i="1"/>
  <c r="U14" i="7" s="1"/>
  <c r="U26" i="1"/>
  <c r="U10" i="8" s="1"/>
  <c r="U25" i="1"/>
  <c r="U9" i="8" s="1"/>
  <c r="U24" i="1"/>
  <c r="U8" i="8" s="1"/>
  <c r="U23" i="1"/>
  <c r="U7" i="8" s="1"/>
  <c r="U22" i="1"/>
  <c r="U6" i="8" s="1"/>
  <c r="U15" i="1"/>
  <c r="U14" i="9" s="1"/>
  <c r="U82" i="1"/>
  <c r="U6" i="5" s="1"/>
  <c r="R90" i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82" i="1"/>
  <c r="T6" i="5" s="1"/>
  <c r="T49" i="1"/>
  <c r="T17" i="7" s="1"/>
  <c r="T46" i="1"/>
  <c r="T15" i="1"/>
  <c r="T14" i="9" s="1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82" i="1"/>
  <c r="S6" i="5" s="1"/>
  <c r="S49" i="1"/>
  <c r="S17" i="7" s="1"/>
  <c r="S46" i="1"/>
  <c r="S14" i="7" s="1"/>
  <c r="S15" i="1"/>
  <c r="S14" i="9" s="1"/>
  <c r="S45" i="1" l="1"/>
  <c r="S13" i="7" s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5" i="1"/>
  <c r="Q14" i="9" s="1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5" i="1"/>
  <c r="R14" i="9" s="1"/>
  <c r="R82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82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5" i="1"/>
  <c r="P14" i="9" s="1"/>
  <c r="P13" i="9"/>
  <c r="P12" i="9"/>
  <c r="P11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5" i="1"/>
  <c r="O14" i="9" s="1"/>
  <c r="O82" i="1"/>
  <c r="O6" i="5" s="1"/>
  <c r="O49" i="1"/>
  <c r="O17" i="7" s="1"/>
  <c r="O46" i="1"/>
  <c r="O14" i="7" s="1"/>
  <c r="O21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86" i="1"/>
  <c r="N10" i="5" s="1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5" i="1"/>
  <c r="N14" i="9" s="1"/>
  <c r="N13" i="9"/>
  <c r="N12" i="9"/>
  <c r="N11" i="9"/>
  <c r="N10" i="9"/>
  <c r="N9" i="9"/>
  <c r="N8" i="9"/>
  <c r="N7" i="9"/>
  <c r="N6" i="9"/>
  <c r="N3" i="9"/>
  <c r="N82" i="1"/>
  <c r="N6" i="5" s="1"/>
  <c r="N49" i="1"/>
  <c r="N17" i="7" s="1"/>
  <c r="N46" i="1"/>
  <c r="N14" i="7" s="1"/>
  <c r="M9" i="5"/>
  <c r="M9" i="8"/>
  <c r="M6" i="8"/>
  <c r="M15" i="1"/>
  <c r="M14" i="9" s="1"/>
  <c r="M82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15" i="1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82" i="1"/>
  <c r="L6" i="5" s="1"/>
  <c r="L49" i="1"/>
  <c r="L17" i="7" s="1"/>
  <c r="L46" i="1"/>
  <c r="L14" i="7" s="1"/>
  <c r="L21" i="1"/>
  <c r="K9" i="5"/>
  <c r="K82" i="1"/>
  <c r="K6" i="5" s="1"/>
  <c r="K49" i="1"/>
  <c r="K17" i="7" s="1"/>
  <c r="K46" i="1"/>
  <c r="K15" i="1"/>
  <c r="K14" i="9" s="1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K21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5" i="1"/>
  <c r="J14" i="9" s="1"/>
  <c r="J13" i="9"/>
  <c r="J12" i="9"/>
  <c r="J11" i="9"/>
  <c r="J10" i="9"/>
  <c r="J9" i="9"/>
  <c r="J8" i="9"/>
  <c r="J7" i="9"/>
  <c r="J6" i="9"/>
  <c r="J3" i="9"/>
  <c r="J82" i="1"/>
  <c r="J6" i="5" s="1"/>
  <c r="J49" i="1"/>
  <c r="J17" i="7" s="1"/>
  <c r="J46" i="1"/>
  <c r="J21" i="1"/>
  <c r="I9" i="5"/>
  <c r="I15" i="1"/>
  <c r="I14" i="9" s="1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49" i="1"/>
  <c r="I17" i="7" s="1"/>
  <c r="I46" i="1"/>
  <c r="H9" i="5"/>
  <c r="H49" i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46" i="1"/>
  <c r="H14" i="7" s="1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5" i="1"/>
  <c r="H14" i="9" s="1"/>
  <c r="H13" i="9"/>
  <c r="H12" i="9"/>
  <c r="H11" i="9"/>
  <c r="H10" i="9"/>
  <c r="H9" i="9"/>
  <c r="H8" i="9"/>
  <c r="H7" i="9"/>
  <c r="H6" i="9"/>
  <c r="H3" i="9"/>
  <c r="F15" i="1"/>
  <c r="F21" i="1" s="1"/>
  <c r="G15" i="1"/>
  <c r="G21" i="1" s="1"/>
  <c r="E15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I21" i="1"/>
  <c r="F45" i="1"/>
  <c r="F13" i="7" s="1"/>
  <c r="J45" i="1"/>
  <c r="J13" i="7" s="1"/>
  <c r="K45" i="1"/>
  <c r="K13" i="7" s="1"/>
  <c r="G45" i="1"/>
  <c r="G13" i="7" s="1"/>
  <c r="E45" i="1"/>
  <c r="E13" i="7" s="1"/>
  <c r="H21" i="1"/>
  <c r="H45" i="1"/>
  <c r="H13" i="7" s="1"/>
  <c r="N37" i="1"/>
  <c r="N6" i="7" s="1"/>
  <c r="BL14" i="9"/>
  <c r="F14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<sst xmlns="http://schemas.openxmlformats.org/spreadsheetml/2006/main" count="441" uniqueCount="221">
  <si>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</si>
  <si>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</si>
  <si>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</si>
  <si>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</si>
  <si>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</si>
  <si>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</si>
  <si>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</si>
  <si>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</si>
  <si>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</si>
  <si>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</si>
  <si>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</si>
  <si>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</si>
  <si>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</si>
  <si>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</si>
  <si>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</si>
  <si>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</si>
  <si>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</si>
  <si>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</si>
  <si>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</si>
  <si>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</si>
  <si>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</si>
  <si>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</si>
  <si>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</si>
  <si>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</si>
  <si>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</si>
  <si>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</si>
  <si>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</si>
  <si>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</si>
  <si>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</si>
  <si>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</si>
  <si>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</si>
  <si>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</si>
  <si>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</si>
  <si>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</si>
  <si>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</si>
  <si>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</si>
  <si>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</si>
  <si>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</si>
  <si>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</si>
  <si>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</si>
  <si>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</si>
  <si>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</si>
  <si>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</si>
  <si>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</si>
  <si>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</si>
  <si>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</si>
  <si>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</si>
  <si>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</si>
  <si>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</si>
  <si>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</si>
  <si>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</si>
  <si>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</si>
  <si>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</si>
  <si>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</si>
  <si>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</si>
  <si>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</si>
  <si>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</si>
  <si>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</si>
  <si>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</si>
  <si>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</si>
  <si>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</si>
  <si>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</si>
  <si>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</si>
  <si>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</si>
  <si>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</si>
  <si>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</si>
  <si>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</si>
  <si>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</si>
  <si>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</si>
  <si>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</si>
  <si>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</si>
  <si>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</si>
  <si>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</si>
  <si>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</si>
  <si>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</si>
  <si>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</si>
  <si>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</si>
  <si>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</si>
  <si>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</si>
  <si>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</si>
  <si>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</si>
  <si>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</si>
  <si>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</si>
  <si>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</si>
  <si>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</si>
  <si>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</si>
  <si>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</si>
  <si>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</si>
  <si>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</si>
  <si>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</si>
  <si>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</si>
  <si>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</si>
  <si>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</si>
  <si>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</si>
  <si>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</si>
  <si>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</si>
  <si>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</si>
  <si>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</si>
  <si>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</si>
  <si>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</si>
  <si>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</si>
  <si>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</si>
  <si>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</si>
  <si>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</si>
  <si>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</si>
  <si>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</si>
  <si>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</si>
  <si>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</si>
  <si>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</si>
  <si>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</si>
  <si>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</si>
  <si>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</si>
  <si>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</si>
  <si>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</si>
  <si>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</si>
  <si>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</si>
  <si>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</si>
  <si>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</si>
  <si>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</si>
  <si>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</si>
  <si>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</si>
  <si>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</si>
  <si>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</si>
  <si>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</si>
  <si>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</si>
  <si>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</si>
  <si>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</si>
  <si>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</si>
  <si>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</si>
  <si>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</si>
  <si>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</si>
  <si>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</si>
  <si>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</si>
  <si>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</si>
  <si>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</si>
  <si>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</si>
  <si>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</si>
  <si>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</si>
  <si>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</si>
  <si>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</si>
  <si>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</si>
  <si>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</si>
  <si>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</si>
  <si>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</si>
  <si>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</si>
  <si>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</si>
  <si>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</si>
  <si>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</si>
  <si>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</si>
  <si>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</si>
  <si>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</si>
  <si>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</si>
  <si>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</si>
  <si>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</si>
  <si>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</si>
  <si>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</si>
  <si>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</si>
  <si>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</si>
  <si>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</si>
  <si>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</si>
  <si>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</si>
  <si>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</si>
  <si>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</si>
  <si>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</si>
  <si>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</si>
  <si>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</si>
  <si>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</si>
  <si>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</si>
  <si>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</si>
  <si>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</si>
  <si>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</si>
  <si>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</si>
  <si>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</si>
  <si>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</si>
  <si>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</si>
  <si>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</si>
  <si>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</si>
  <si>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</si>
  <si>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</si>
  <si>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</si>
  <si>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</si>
  <si>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</si>
  <si>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</si>
  <si>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</si>
  <si>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</si>
  <si>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</si>
  <si>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</si>
  <si>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</si>
  <si>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</si>
  <si>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</si>
  <si>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</si>
  <si>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</si>
  <si>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</si>
  <si>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</si>
  <si>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</si>
  <si>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</si>
  <si>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</si>
  <si>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</si>
  <si>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</si>
  <si>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</si>
  <si>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</si>
  <si>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</si>
  <si>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</si>
  <si>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</si>
  <si>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</si>
  <si>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</si>
  <si>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</si>
  <si>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</si>
  <si>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</si>
  <si>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</si>
  <si>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</si>
  <si>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</si>
  <si>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</si>
  <si>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</si>
  <si>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</si>
  <si>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</si>
  <si>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</si>
  <si>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</si>
  <si>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</si>
  <si>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2013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</si>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</sst>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42414.217970980404</v>
          </cell>
        </row>
        <row r="491">
          <cell r="H491">
            <v>-64738.657152184052</v>
          </cell>
        </row>
        <row r="493">
          <cell r="H493">
            <v>-36047.048399455569</v>
          </cell>
        </row>
        <row r="587">
          <cell r="H587">
            <v>-21100.976881861607</v>
          </cell>
        </row>
        <row r="776">
          <cell r="H776">
            <v>-31308.27580223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42794.569612353123</v>
          </cell>
        </row>
        <row r="491">
          <cell r="H491">
            <v>-65370.667335155224</v>
          </cell>
        </row>
        <row r="493">
          <cell r="H493">
            <v>-35892.075640909636</v>
          </cell>
        </row>
        <row r="587">
          <cell r="H587">
            <v>-21418.211408729519</v>
          </cell>
        </row>
        <row r="776">
          <cell r="H776">
            <v>-31371.750627500001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43169.462791503829</v>
          </cell>
        </row>
        <row r="491">
          <cell r="H491">
            <v>-64930.988589142398</v>
          </cell>
        </row>
        <row r="493">
          <cell r="H493">
            <v>-35472.840049554499</v>
          </cell>
        </row>
        <row r="587">
          <cell r="H587">
            <v>-21608.308425514628</v>
          </cell>
        </row>
        <row r="776">
          <cell r="H776">
            <v>-31557.664476729999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43318.307210508341</v>
          </cell>
        </row>
        <row r="491">
          <cell r="H491">
            <v>-64880.684159453391</v>
          </cell>
        </row>
        <row r="493">
          <cell r="H493">
            <v>-35337.216491562409</v>
          </cell>
        </row>
        <row r="587">
          <cell r="H587">
            <v>-21683.230848705538</v>
          </cell>
        </row>
        <row r="776">
          <cell r="H776">
            <v>-31632.62245594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44274.85052907245</v>
          </cell>
        </row>
        <row r="491">
          <cell r="H491">
            <v>-64854.560661070173</v>
          </cell>
        </row>
        <row r="493">
          <cell r="H493">
            <v>-34374.450266142085</v>
          </cell>
        </row>
        <row r="587">
          <cell r="H587">
            <v>-22368.947867990846</v>
          </cell>
        </row>
        <row r="776">
          <cell r="H776">
            <v>-31796.824855769999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R893"/>
  <sheetViews>
    <sheetView tabSelected="1"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21" sqref="D2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140625" style="265" customWidth="1"/>
    <col min="60" max="61" width="9.7109375" style="265" customWidth="1"/>
    <col min="62" max="62" width="9.7109375" style="323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320"/>
      <c r="BK1" s="403"/>
      <c r="BL1" s="403"/>
      <c r="BM1" s="403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320"/>
      <c r="BK2" s="403"/>
      <c r="BL2" s="403"/>
      <c r="BM2" s="403"/>
    </row>
    <row r="3" spans="1:70" ht="19.5" customHeight="1" thickBot="1" x14ac:dyDescent="0.3">
      <c r="C3" s="16"/>
      <c r="D3" s="652" t="s">
        <v>145</v>
      </c>
      <c r="E3" s="654" t="s">
        <v>125</v>
      </c>
      <c r="F3" s="654" t="s">
        <v>127</v>
      </c>
      <c r="G3" s="654" t="s">
        <v>128</v>
      </c>
      <c r="H3" s="654" t="s">
        <v>129</v>
      </c>
      <c r="I3" s="654" t="s">
        <v>130</v>
      </c>
      <c r="J3" s="654" t="s">
        <v>132</v>
      </c>
      <c r="K3" s="654" t="s">
        <v>134</v>
      </c>
      <c r="L3" s="641" t="s">
        <v>135</v>
      </c>
      <c r="M3" s="643" t="s">
        <v>136</v>
      </c>
      <c r="N3" s="641" t="s">
        <v>137</v>
      </c>
      <c r="O3" s="641" t="s">
        <v>138</v>
      </c>
      <c r="P3" s="643" t="s">
        <v>139</v>
      </c>
      <c r="Q3" s="641" t="s">
        <v>140</v>
      </c>
      <c r="R3" s="641" t="s">
        <v>141</v>
      </c>
      <c r="S3" s="641" t="s">
        <v>142</v>
      </c>
      <c r="T3" s="641" t="s">
        <v>143</v>
      </c>
      <c r="U3" s="641" t="s">
        <v>152</v>
      </c>
      <c r="V3" s="641" t="s">
        <v>153</v>
      </c>
      <c r="W3" s="641" t="s">
        <v>154</v>
      </c>
      <c r="X3" s="641" t="s">
        <v>155</v>
      </c>
      <c r="Y3" s="641" t="s">
        <v>159</v>
      </c>
      <c r="Z3" s="641" t="s">
        <v>161</v>
      </c>
      <c r="AA3" s="641" t="s">
        <v>162</v>
      </c>
      <c r="AB3" s="641" t="s">
        <v>163</v>
      </c>
      <c r="AC3" s="641" t="s">
        <v>164</v>
      </c>
      <c r="AD3" s="641" t="s">
        <v>165</v>
      </c>
      <c r="AE3" s="641" t="s">
        <v>166</v>
      </c>
      <c r="AF3" s="641" t="s">
        <v>167</v>
      </c>
      <c r="AG3" s="641" t="s">
        <v>168</v>
      </c>
      <c r="AH3" s="641" t="s">
        <v>169</v>
      </c>
      <c r="AI3" s="641" t="s">
        <v>170</v>
      </c>
      <c r="AJ3" s="641" t="s">
        <v>171</v>
      </c>
      <c r="AK3" s="641" t="s">
        <v>172</v>
      </c>
      <c r="AL3" s="641" t="s">
        <v>174</v>
      </c>
      <c r="AM3" s="641" t="s">
        <v>175</v>
      </c>
      <c r="AN3" s="641" t="s">
        <v>176</v>
      </c>
      <c r="AO3" s="641" t="s">
        <v>177</v>
      </c>
      <c r="AP3" s="641" t="s">
        <v>178</v>
      </c>
      <c r="AQ3" s="641" t="s">
        <v>179</v>
      </c>
      <c r="AR3" s="641" t="s">
        <v>180</v>
      </c>
      <c r="AS3" s="641" t="s">
        <v>182</v>
      </c>
      <c r="AT3" s="641" t="s">
        <v>183</v>
      </c>
      <c r="AU3" s="641" t="s">
        <v>184</v>
      </c>
      <c r="AV3" s="643" t="s">
        <v>185</v>
      </c>
      <c r="AW3" s="641" t="s">
        <v>186</v>
      </c>
      <c r="AX3" s="641" t="s">
        <v>187</v>
      </c>
      <c r="AY3" s="641" t="s">
        <v>189</v>
      </c>
      <c r="AZ3" s="641" t="s">
        <v>190</v>
      </c>
      <c r="BA3" s="641" t="s">
        <v>191</v>
      </c>
      <c r="BB3" s="641" t="s">
        <v>202</v>
      </c>
      <c r="BC3" s="641" t="s">
        <v>203</v>
      </c>
      <c r="BD3" s="641" t="s">
        <v>204</v>
      </c>
      <c r="BE3" s="641" t="s">
        <v>206</v>
      </c>
      <c r="BF3" s="641" t="s">
        <v>219</v>
      </c>
      <c r="BG3" s="648" t="s">
        <v>220</v>
      </c>
      <c r="BH3" s="648"/>
      <c r="BI3" s="648"/>
      <c r="BJ3" s="648"/>
      <c r="BK3" s="648"/>
      <c r="BL3" s="646" t="s">
        <v>173</v>
      </c>
      <c r="BM3" s="647"/>
    </row>
    <row r="4" spans="1:70" ht="16.5" customHeight="1" x14ac:dyDescent="0.2">
      <c r="C4" s="24"/>
      <c r="D4" s="653"/>
      <c r="E4" s="655"/>
      <c r="F4" s="655"/>
      <c r="G4" s="655"/>
      <c r="H4" s="655"/>
      <c r="I4" s="655"/>
      <c r="J4" s="655"/>
      <c r="K4" s="655"/>
      <c r="L4" s="642"/>
      <c r="M4" s="644"/>
      <c r="N4" s="642"/>
      <c r="O4" s="642"/>
      <c r="P4" s="644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4"/>
      <c r="AW4" s="642"/>
      <c r="AX4" s="642"/>
      <c r="AY4" s="642"/>
      <c r="AZ4" s="642"/>
      <c r="BA4" s="642"/>
      <c r="BB4" s="642"/>
      <c r="BC4" s="642"/>
      <c r="BD4" s="642"/>
      <c r="BE4" s="642"/>
      <c r="BF4" s="642"/>
      <c r="BG4" s="582">
        <v>41428</v>
      </c>
      <c r="BH4" s="503">
        <f>+BG4+1</f>
        <v>41429</v>
      </c>
      <c r="BI4" s="503">
        <f>+BH4+1</f>
        <v>41430</v>
      </c>
      <c r="BJ4" s="503">
        <f>+BI4+1</f>
        <v>41431</v>
      </c>
      <c r="BK4" s="600">
        <f>+BJ4+1</f>
        <v>41432</v>
      </c>
      <c r="BL4" s="502" t="s">
        <v>25</v>
      </c>
      <c r="BM4" s="404" t="s">
        <v>103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4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542"/>
      <c r="BH5" s="413"/>
      <c r="BI5" s="413"/>
      <c r="BJ5" s="469"/>
      <c r="BK5" s="414"/>
      <c r="BL5" s="405"/>
      <c r="BM5" s="270"/>
    </row>
    <row r="6" spans="1:70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5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603"/>
      <c r="BH6" s="604"/>
      <c r="BI6" s="604"/>
      <c r="BJ6" s="604"/>
      <c r="BK6" s="605"/>
      <c r="BL6" s="396"/>
      <c r="BM6" s="397"/>
    </row>
    <row r="7" spans="1:70" ht="12.75" customHeight="1" x14ac:dyDescent="0.2">
      <c r="C7" s="77"/>
      <c r="D7" s="30" t="s">
        <v>115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591">
        <v>14001.125694049999</v>
      </c>
      <c r="BH7" s="491">
        <v>14102.946712909998</v>
      </c>
      <c r="BI7" s="491">
        <v>14064.860675419999</v>
      </c>
      <c r="BJ7" s="491">
        <v>14068.60761304</v>
      </c>
      <c r="BK7" s="491">
        <v>14088.637350710002</v>
      </c>
      <c r="BL7" s="422">
        <f t="shared" ref="BL7:BL15" si="0">+BK7-BF7</f>
        <v>81.509524970000712</v>
      </c>
      <c r="BM7" s="559">
        <f t="shared" ref="BM7:BM15" si="1">+(BK7/BF7-1)</f>
        <v>5.8191462221266477E-3</v>
      </c>
      <c r="BN7" s="539"/>
      <c r="BO7" s="533"/>
      <c r="BP7" s="534"/>
      <c r="BQ7" s="384"/>
      <c r="BR7" s="394"/>
    </row>
    <row r="8" spans="1:70" ht="12.75" customHeight="1" x14ac:dyDescent="0.2">
      <c r="C8" s="77"/>
      <c r="D8" s="148" t="s">
        <v>116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591">
        <v>11838.290815159999</v>
      </c>
      <c r="BH8" s="491">
        <v>11903.817660709999</v>
      </c>
      <c r="BI8" s="491">
        <v>11881.787894020001</v>
      </c>
      <c r="BJ8" s="491">
        <v>11880.598783970001</v>
      </c>
      <c r="BK8" s="491">
        <v>11886.186136880002</v>
      </c>
      <c r="BL8" s="422">
        <f t="shared" si="0"/>
        <v>51.998682680003185</v>
      </c>
      <c r="BM8" s="559">
        <f t="shared" si="1"/>
        <v>4.3939377233330745E-3</v>
      </c>
      <c r="BN8" s="539"/>
      <c r="BO8" s="533"/>
      <c r="BP8" s="534"/>
      <c r="BQ8" s="384"/>
      <c r="BR8" s="394"/>
    </row>
    <row r="9" spans="1:70" ht="12.75" customHeight="1" x14ac:dyDescent="0.2">
      <c r="C9" s="77"/>
      <c r="D9" s="148" t="s">
        <v>117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591">
        <v>247.93225870000001</v>
      </c>
      <c r="BH9" s="491">
        <v>248.19362834</v>
      </c>
      <c r="BI9" s="491">
        <v>248.84374395</v>
      </c>
      <c r="BJ9" s="491">
        <v>248.88840838000002</v>
      </c>
      <c r="BK9" s="491">
        <v>249.50378498999999</v>
      </c>
      <c r="BL9" s="422">
        <f t="shared" si="0"/>
        <v>2.3837572399999658</v>
      </c>
      <c r="BM9" s="559">
        <f t="shared" si="1"/>
        <v>9.6461515551928834E-3</v>
      </c>
      <c r="BN9" s="539"/>
      <c r="BO9" s="533"/>
      <c r="BP9" s="534"/>
      <c r="BQ9" s="384"/>
      <c r="BR9" s="394"/>
    </row>
    <row r="10" spans="1:70" ht="12.75" customHeight="1" x14ac:dyDescent="0.2">
      <c r="C10" s="77"/>
      <c r="D10" s="148" t="s">
        <v>118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591">
        <v>1901.6010364399999</v>
      </c>
      <c r="BH10" s="491">
        <v>1937.6198176099999</v>
      </c>
      <c r="BI10" s="491">
        <v>1920.8785524500001</v>
      </c>
      <c r="BJ10" s="491">
        <v>1925.7675394400001</v>
      </c>
      <c r="BK10" s="491">
        <v>1939.5615325900001</v>
      </c>
      <c r="BL10" s="422">
        <f t="shared" si="0"/>
        <v>26.999196299999994</v>
      </c>
      <c r="BM10" s="559">
        <f t="shared" si="1"/>
        <v>1.4116766699679539E-2</v>
      </c>
      <c r="BN10" s="539"/>
      <c r="BO10" s="533"/>
      <c r="BP10" s="534"/>
      <c r="BQ10" s="384"/>
      <c r="BR10" s="394"/>
    </row>
    <row r="11" spans="1:70" x14ac:dyDescent="0.2">
      <c r="C11" s="77"/>
      <c r="D11" s="148" t="s">
        <v>119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591">
        <v>13.301583749999999</v>
      </c>
      <c r="BH11" s="491">
        <v>13.31560625</v>
      </c>
      <c r="BI11" s="491">
        <v>13.350485000000001</v>
      </c>
      <c r="BJ11" s="491">
        <v>13.352881250000001</v>
      </c>
      <c r="BK11" s="491">
        <v>13.38589625</v>
      </c>
      <c r="BL11" s="422">
        <f t="shared" si="0"/>
        <v>0.12788875000000033</v>
      </c>
      <c r="BM11" s="559">
        <f t="shared" si="1"/>
        <v>9.646151580469331E-3</v>
      </c>
      <c r="BN11" s="539"/>
      <c r="BO11" s="533"/>
      <c r="BP11" s="534"/>
      <c r="BQ11" s="384"/>
      <c r="BR11" s="394"/>
    </row>
    <row r="12" spans="1:7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588">
        <v>14001.01063479</v>
      </c>
      <c r="BH12" s="492">
        <v>14102.393289059999</v>
      </c>
      <c r="BI12" s="492">
        <v>14065.401321619998</v>
      </c>
      <c r="BJ12" s="492">
        <v>14068.995133510001</v>
      </c>
      <c r="BK12" s="492">
        <v>14089.0544095</v>
      </c>
      <c r="BL12" s="422">
        <f t="shared" si="0"/>
        <v>81.425130859999626</v>
      </c>
      <c r="BM12" s="559">
        <f t="shared" si="1"/>
        <v>5.812913037623213E-3</v>
      </c>
      <c r="BN12" s="539"/>
      <c r="BO12" s="533"/>
      <c r="BP12" s="534"/>
      <c r="BQ12" s="384"/>
      <c r="BR12" s="394"/>
    </row>
    <row r="13" spans="1:70" x14ac:dyDescent="0.2">
      <c r="C13" s="26"/>
      <c r="D13" s="210" t="s">
        <v>157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541">
        <v>1437.3591256320428</v>
      </c>
      <c r="BH13" s="495">
        <v>1421.4298919090108</v>
      </c>
      <c r="BI13" s="495">
        <v>1454.9432814512847</v>
      </c>
      <c r="BJ13" s="495">
        <v>1475.9478761772323</v>
      </c>
      <c r="BK13" s="495">
        <v>1489.8312587807306</v>
      </c>
      <c r="BL13" s="422">
        <f t="shared" si="0"/>
        <v>74.464632362974044</v>
      </c>
      <c r="BM13" s="559">
        <f t="shared" si="1"/>
        <v>5.2611550232353199E-2</v>
      </c>
      <c r="BN13" s="539"/>
      <c r="BO13" s="533"/>
      <c r="BP13" s="534"/>
      <c r="BQ13" s="384"/>
      <c r="BR13" s="394"/>
    </row>
    <row r="14" spans="1:70" ht="12.75" customHeight="1" x14ac:dyDescent="0.2">
      <c r="C14" s="26"/>
      <c r="D14" s="210" t="s">
        <v>156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541">
        <v>186.57502440816327</v>
      </c>
      <c r="BH14" s="495">
        <v>187.96932051020406</v>
      </c>
      <c r="BI14" s="495">
        <v>185.77657247667634</v>
      </c>
      <c r="BJ14" s="495">
        <v>186.37137467784254</v>
      </c>
      <c r="BK14" s="495">
        <v>184.56360559037907</v>
      </c>
      <c r="BL14" s="422">
        <f t="shared" si="0"/>
        <v>-1.4571095087462709</v>
      </c>
      <c r="BM14" s="559">
        <f t="shared" si="1"/>
        <v>-7.8330497115325359E-3</v>
      </c>
      <c r="BN14" s="539"/>
      <c r="BO14" s="533"/>
      <c r="BP14" s="534"/>
      <c r="BQ14" s="384"/>
      <c r="BR14" s="394"/>
    </row>
    <row r="15" spans="1:70" x14ac:dyDescent="0.2">
      <c r="C15" s="26"/>
      <c r="D15" s="210" t="s">
        <v>158</v>
      </c>
      <c r="E15" s="215">
        <f t="shared" ref="E15:J15" si="2">+E12+E13+E14</f>
        <v>8639.6035074975498</v>
      </c>
      <c r="F15" s="215">
        <f t="shared" si="2"/>
        <v>8645.2182465078931</v>
      </c>
      <c r="G15" s="215">
        <f t="shared" si="2"/>
        <v>8719.0204245582936</v>
      </c>
      <c r="H15" s="215">
        <f t="shared" si="2"/>
        <v>8789.2239049082655</v>
      </c>
      <c r="I15" s="215">
        <f t="shared" si="2"/>
        <v>8842.0730169547842</v>
      </c>
      <c r="J15" s="215">
        <f t="shared" si="2"/>
        <v>9043.2483519874459</v>
      </c>
      <c r="K15" s="215">
        <f t="shared" ref="K15:P15" si="3">+K12+K13+K14</f>
        <v>9159.4477371117755</v>
      </c>
      <c r="L15" s="215">
        <f t="shared" si="3"/>
        <v>9253.6349329364748</v>
      </c>
      <c r="M15" s="214">
        <f t="shared" si="3"/>
        <v>9628.8480773302836</v>
      </c>
      <c r="N15" s="215">
        <f t="shared" si="3"/>
        <v>9941.4843416190124</v>
      </c>
      <c r="O15" s="215">
        <f t="shared" si="3"/>
        <v>10027.412328886472</v>
      </c>
      <c r="P15" s="216">
        <f t="shared" si="3"/>
        <v>10204.529495235185</v>
      </c>
      <c r="Q15" s="215">
        <f t="shared" ref="Q15:AK15" si="4">+Q12+Q13+Q14</f>
        <v>10074.56887331355</v>
      </c>
      <c r="R15" s="215">
        <f t="shared" si="4"/>
        <v>10051.096483354026</v>
      </c>
      <c r="S15" s="252">
        <f t="shared" si="4"/>
        <v>9936.504937705633</v>
      </c>
      <c r="T15" s="252">
        <f t="shared" si="4"/>
        <v>9899.3178757907244</v>
      </c>
      <c r="U15" s="252">
        <f t="shared" si="4"/>
        <v>9930.8348291604088</v>
      </c>
      <c r="V15" s="252">
        <f t="shared" si="4"/>
        <v>9915.7627487492555</v>
      </c>
      <c r="W15" s="252">
        <f t="shared" si="4"/>
        <v>9930.2917461725283</v>
      </c>
      <c r="X15" s="252">
        <f t="shared" si="4"/>
        <v>10064.861615886231</v>
      </c>
      <c r="Y15" s="252">
        <f t="shared" si="4"/>
        <v>10170.358196796338</v>
      </c>
      <c r="Z15" s="252">
        <f t="shared" si="4"/>
        <v>10502.683787179652</v>
      </c>
      <c r="AA15" s="252">
        <f t="shared" si="4"/>
        <v>10728.611040768292</v>
      </c>
      <c r="AB15" s="336">
        <f t="shared" si="4"/>
        <v>10818.036225285792</v>
      </c>
      <c r="AC15" s="336">
        <f t="shared" si="4"/>
        <v>11166.174372277155</v>
      </c>
      <c r="AD15" s="336">
        <f t="shared" si="4"/>
        <v>11163.659448801072</v>
      </c>
      <c r="AE15" s="336">
        <f t="shared" si="4"/>
        <v>11472.135712687294</v>
      </c>
      <c r="AF15" s="336">
        <f t="shared" si="4"/>
        <v>11574.145166142265</v>
      </c>
      <c r="AG15" s="336">
        <f t="shared" si="4"/>
        <v>11935.16994980955</v>
      </c>
      <c r="AH15" s="336">
        <f t="shared" si="4"/>
        <v>11867.968255922375</v>
      </c>
      <c r="AI15" s="336">
        <f t="shared" si="4"/>
        <v>11985.708677987588</v>
      </c>
      <c r="AJ15" s="336">
        <f t="shared" si="4"/>
        <v>12390.095656689688</v>
      </c>
      <c r="AK15" s="336">
        <f t="shared" si="4"/>
        <v>12931.070416984023</v>
      </c>
      <c r="AL15" s="336">
        <f t="shared" ref="AL15:AM15" si="5">+AL12+AL13+AL14</f>
        <v>12612.539909192625</v>
      </c>
      <c r="AM15" s="336">
        <f t="shared" si="5"/>
        <v>13097.875896010373</v>
      </c>
      <c r="AN15" s="336">
        <f>+AN12+AN13+AN14</f>
        <v>13289.935159898389</v>
      </c>
      <c r="AO15" s="336">
        <f t="shared" ref="AO15" si="6">+AO12+AO13+AO14</f>
        <v>13195.67607254243</v>
      </c>
      <c r="AP15" s="336">
        <f t="shared" ref="AP15" si="7">+AP12+AP13+AP14</f>
        <v>13621.208531126169</v>
      </c>
      <c r="AQ15" s="336">
        <f t="shared" ref="AQ15:AR15" si="8">+AQ12+AQ13+AQ14</f>
        <v>13888.598213770441</v>
      </c>
      <c r="AR15" s="336">
        <f t="shared" si="8"/>
        <v>13858.71548294993</v>
      </c>
      <c r="AS15" s="336">
        <f t="shared" ref="AS15:AX15" si="9">+AS12+AS13+AS14</f>
        <v>13943.562413679201</v>
      </c>
      <c r="AT15" s="336">
        <f t="shared" si="9"/>
        <v>13730.044213030436</v>
      </c>
      <c r="AU15" s="336">
        <f t="shared" si="9"/>
        <v>13782.979687318777</v>
      </c>
      <c r="AV15" s="508">
        <f t="shared" si="9"/>
        <v>14060.081646940538</v>
      </c>
      <c r="AW15" s="336">
        <f t="shared" si="9"/>
        <v>14391.941929861274</v>
      </c>
      <c r="AX15" s="336">
        <f t="shared" si="9"/>
        <v>14772.461979424206</v>
      </c>
      <c r="AY15" s="336">
        <f t="shared" ref="AY15:BK15" si="10">+AY12+AY13+AY14</f>
        <v>15092.527132366869</v>
      </c>
      <c r="AZ15" s="336">
        <f>+AZ12+AZ13+AZ14</f>
        <v>15184.990478887221</v>
      </c>
      <c r="BA15" s="336">
        <f>+BA12+BA13+BA14</f>
        <v>15348.71670628758</v>
      </c>
      <c r="BB15" s="336">
        <f t="shared" ref="BB15:BD15" si="11">+BB12+BB13+BB14</f>
        <v>15548.89612082024</v>
      </c>
      <c r="BC15" s="336">
        <f t="shared" si="11"/>
        <v>15561.824511811328</v>
      </c>
      <c r="BD15" s="336">
        <f t="shared" si="11"/>
        <v>15732.99030341813</v>
      </c>
      <c r="BE15" s="336">
        <f>+BE12+BE13+BE14</f>
        <v>15815.389176844374</v>
      </c>
      <c r="BF15" s="336">
        <f t="shared" ref="BF15" si="12">+BF12+BF13+BF14</f>
        <v>15609.016620156883</v>
      </c>
      <c r="BG15" s="541">
        <f>+BG12+BG13+BG14</f>
        <v>15624.944784830206</v>
      </c>
      <c r="BH15" s="495">
        <f>+BH12+BH13+BH14</f>
        <v>15711.792501479214</v>
      </c>
      <c r="BI15" s="495">
        <f t="shared" si="10"/>
        <v>15706.12117554796</v>
      </c>
      <c r="BJ15" s="495">
        <f t="shared" si="10"/>
        <v>15731.314384365076</v>
      </c>
      <c r="BK15" s="532">
        <f t="shared" si="10"/>
        <v>15763.449273871111</v>
      </c>
      <c r="BL15" s="422">
        <f t="shared" si="0"/>
        <v>154.43265371422785</v>
      </c>
      <c r="BM15" s="559">
        <f t="shared" si="1"/>
        <v>9.8938105757924166E-3</v>
      </c>
      <c r="BN15" s="539"/>
      <c r="BO15" s="533"/>
      <c r="BP15" s="534"/>
      <c r="BQ15" s="384"/>
      <c r="BR15" s="394"/>
    </row>
    <row r="16" spans="1:70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584">
        <v>0</v>
      </c>
      <c r="BH16" s="493">
        <v>0.3</v>
      </c>
      <c r="BI16" s="493">
        <v>0</v>
      </c>
      <c r="BJ16" s="493">
        <v>0</v>
      </c>
      <c r="BK16" s="585">
        <v>0</v>
      </c>
      <c r="BL16" s="422">
        <f>+(BG16+BH16+BI16+BJ16+BK16)-BF16</f>
        <v>-3.3000000000000003</v>
      </c>
      <c r="BM16" s="559">
        <f>+((BK16+BG16+BH16+BI16+BJ16)/BF16-1)</f>
        <v>-0.91666666666666663</v>
      </c>
      <c r="BN16" s="539"/>
      <c r="BO16" s="533"/>
      <c r="BP16" s="534"/>
      <c r="BQ16" s="384"/>
      <c r="BR16" s="394"/>
    </row>
    <row r="17" spans="1:70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584">
        <v>0</v>
      </c>
      <c r="BH17" s="493">
        <v>0.4</v>
      </c>
      <c r="BI17" s="493">
        <v>0.7</v>
      </c>
      <c r="BJ17" s="493">
        <v>0</v>
      </c>
      <c r="BK17" s="585">
        <v>3.2</v>
      </c>
      <c r="BL17" s="422">
        <f>+(BG17+BH17+BI17+BJ17+BK17)-BF17</f>
        <v>-48.7</v>
      </c>
      <c r="BM17" s="559">
        <f>+((BK17+BG17+BH17+BI17+BJ17)/BF17-1)</f>
        <v>-0.9188679245283019</v>
      </c>
      <c r="BN17" s="539"/>
      <c r="BO17" s="533"/>
      <c r="BP17" s="534"/>
      <c r="BQ17" s="384"/>
      <c r="BR17" s="394"/>
    </row>
    <row r="18" spans="1:70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584">
        <v>0</v>
      </c>
      <c r="BH18" s="493">
        <v>0</v>
      </c>
      <c r="BI18" s="493">
        <v>0</v>
      </c>
      <c r="BJ18" s="493">
        <v>0</v>
      </c>
      <c r="BK18" s="585">
        <v>0</v>
      </c>
      <c r="BL18" s="422"/>
      <c r="BM18" s="559"/>
      <c r="BN18" s="539"/>
      <c r="BO18" s="533"/>
      <c r="BP18" s="534"/>
      <c r="BQ18" s="384"/>
    </row>
    <row r="19" spans="1:70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584">
        <v>0</v>
      </c>
      <c r="BH19" s="493">
        <v>0</v>
      </c>
      <c r="BI19" s="493">
        <v>0</v>
      </c>
      <c r="BJ19" s="493">
        <v>0</v>
      </c>
      <c r="BK19" s="585">
        <v>0</v>
      </c>
      <c r="BL19" s="422" t="s">
        <v>3</v>
      </c>
      <c r="BM19" s="559" t="s">
        <v>3</v>
      </c>
      <c r="BN19" s="539"/>
      <c r="BO19" s="533"/>
      <c r="BP19" s="534"/>
      <c r="BQ19" s="384"/>
    </row>
    <row r="20" spans="1:70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586">
        <v>0</v>
      </c>
      <c r="BH20" s="494">
        <v>0</v>
      </c>
      <c r="BI20" s="494">
        <v>0</v>
      </c>
      <c r="BJ20" s="494">
        <v>0</v>
      </c>
      <c r="BK20" s="587">
        <v>0</v>
      </c>
      <c r="BL20" s="422" t="s">
        <v>3</v>
      </c>
      <c r="BM20" s="559" t="s">
        <v>3</v>
      </c>
      <c r="BN20" s="539"/>
      <c r="BO20" s="533"/>
      <c r="BP20" s="534"/>
      <c r="BQ20" s="384"/>
    </row>
    <row r="21" spans="1:70" x14ac:dyDescent="0.2">
      <c r="A21" s="3"/>
      <c r="B21" s="3"/>
      <c r="C21" s="76" t="s">
        <v>79</v>
      </c>
      <c r="D21" s="131"/>
      <c r="E21" s="157"/>
      <c r="F21" s="157">
        <f>+F15*6.97</f>
        <v>60257.17117816001</v>
      </c>
      <c r="G21" s="157">
        <f>+G15*6.97</f>
        <v>60771.572359171303</v>
      </c>
      <c r="H21" s="157">
        <f>+H15*6.97</f>
        <v>61260.890617210607</v>
      </c>
      <c r="I21" s="157">
        <f>+I15*6.97</f>
        <v>61629.248928174842</v>
      </c>
      <c r="J21" s="157">
        <f>48.3/28.7</f>
        <v>1.6829268292682926</v>
      </c>
      <c r="K21" s="157">
        <f>48.3/28.7</f>
        <v>1.6829268292682926</v>
      </c>
      <c r="L21" s="157">
        <f>48.3/28.7</f>
        <v>1.6829268292682926</v>
      </c>
      <c r="M21" s="213"/>
      <c r="N21" s="231"/>
      <c r="O21" s="157">
        <f>48.3/28.7</f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43"/>
      <c r="BH21" s="432"/>
      <c r="BI21" s="433"/>
      <c r="BJ21" s="431"/>
      <c r="BK21" s="544"/>
      <c r="BL21" s="423"/>
      <c r="BM21" s="560" t="s">
        <v>3</v>
      </c>
      <c r="BN21" s="539"/>
      <c r="BO21" s="533"/>
      <c r="BP21" s="534"/>
      <c r="BQ21" s="384"/>
    </row>
    <row r="22" spans="1:70" x14ac:dyDescent="0.2">
      <c r="A22" s="3"/>
      <c r="B22" s="64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f>+[20]MACRO!$H$445</f>
        <v>30157.232277248353</v>
      </c>
      <c r="V22" s="334">
        <f>+[21]MACRO!$H$445</f>
        <v>30403.324394647541</v>
      </c>
      <c r="W22" s="334">
        <f>+[22]MACRO!$H$447</f>
        <v>29903.289470033258</v>
      </c>
      <c r="X22" s="334">
        <f>+[23]MACRO!$H$447</f>
        <v>28898.70055204309</v>
      </c>
      <c r="Y22" s="334">
        <f>+[24]MACRO!$H$447</f>
        <v>28619.650201445958</v>
      </c>
      <c r="Z22" s="334">
        <f>+[25]MACRO!$H$450</f>
        <v>28656.14215422389</v>
      </c>
      <c r="AA22" s="334">
        <f>+[26]MACRO!$H$450</f>
        <v>28178.482855580798</v>
      </c>
      <c r="AB22" s="334">
        <f>+[27]MACRO!$H$450</f>
        <v>28789.856249272303</v>
      </c>
      <c r="AC22" s="334">
        <f>+[28]MACRO!$H$450</f>
        <v>32577.475381140739</v>
      </c>
      <c r="AD22" s="334">
        <f>+[29]MACRO!$H$450</f>
        <v>32958.579074453213</v>
      </c>
      <c r="AE22" s="334">
        <f>+[30]MACRO!$H$450</f>
        <v>32753.997521922407</v>
      </c>
      <c r="AF22" s="334">
        <f>+[31]MACRO!$H$458</f>
        <v>33318.498855925034</v>
      </c>
      <c r="AG22" s="334">
        <f>+[32]MACRO!$H$458</f>
        <v>30179.544053439462</v>
      </c>
      <c r="AH22" s="334">
        <f>+[33]MACRO!$H$458</f>
        <v>29387.94146173272</v>
      </c>
      <c r="AI22" s="334">
        <f>+[34]MACRO!$H$458</f>
        <v>31157.768917289424</v>
      </c>
      <c r="AJ22" s="334">
        <f>+[35]MACRO!$H$458</f>
        <v>31437.502481094012</v>
      </c>
      <c r="AK22" s="334">
        <f>+[36]MACRO!$H$460</f>
        <v>32635.139769102381</v>
      </c>
      <c r="AL22" s="334">
        <f>+[37]MACRO!$H$460</f>
        <v>34320.068200088397</v>
      </c>
      <c r="AM22" s="334">
        <f>+[38]MACRO!$H$460</f>
        <v>35375.422907394481</v>
      </c>
      <c r="AN22" s="334">
        <f>+[39]MACRO!$H$460</f>
        <v>37694.737930022849</v>
      </c>
      <c r="AO22" s="334">
        <f>+[40]MACRO!$H$460</f>
        <v>41768.10404689797</v>
      </c>
      <c r="AP22" s="334">
        <f>+[41]MACRO!$H$460</f>
        <v>39518.452970210099</v>
      </c>
      <c r="AQ22" s="334">
        <f>+[42]MACRO!$H$460</f>
        <v>39171.409393767935</v>
      </c>
      <c r="AR22" s="334">
        <f>+[43]MACRO!$H$460</f>
        <v>39703.293302109952</v>
      </c>
      <c r="AS22" s="334">
        <f>+[43]MACRO!$H$460</f>
        <v>39703.293302109952</v>
      </c>
      <c r="AT22" s="334">
        <f>+[44]MACRO!$H$460</f>
        <v>36725.834415524267</v>
      </c>
      <c r="AU22" s="479">
        <f>+[45]MACRO!$H$460</f>
        <v>37503.828244931763</v>
      </c>
      <c r="AV22" s="507">
        <f>+[46]MACRO!$H$460</f>
        <v>36976.145654643202</v>
      </c>
      <c r="AW22" s="334">
        <f>+[47]MACRO!$H$460</f>
        <v>37915.235268250122</v>
      </c>
      <c r="AX22" s="334">
        <f>+[48]MACRO!$H$460</f>
        <v>39808.812685307246</v>
      </c>
      <c r="AY22" s="334">
        <f>+[49]MACRO!$H$460</f>
        <v>39897.674000118262</v>
      </c>
      <c r="AZ22" s="334">
        <f>+[50]MACRO!$H$460</f>
        <v>42290.00662329363</v>
      </c>
      <c r="BA22" s="334">
        <f>+[51]MACRO!$H$460</f>
        <v>48670.600375916838</v>
      </c>
      <c r="BB22" s="334">
        <f>+[52]MACRO!$H$460</f>
        <v>45853.153171793674</v>
      </c>
      <c r="BC22" s="334">
        <f>+[53]MACRO!$H$460</f>
        <v>45106.01534060634</v>
      </c>
      <c r="BD22" s="334">
        <f>+[54]MACRO!$H$460</f>
        <v>43142.448600577838</v>
      </c>
      <c r="BE22" s="334">
        <f>+[55]MACRO!$H$460</f>
        <v>41892.660601382173</v>
      </c>
      <c r="BF22" s="334">
        <f>+[56]MACRO!$H$461</f>
        <v>41468.493126136476</v>
      </c>
      <c r="BG22" s="588">
        <f>+[57]MACRO!$H$461</f>
        <v>42414.217970980404</v>
      </c>
      <c r="BH22" s="492">
        <f>+[58]MACRO!$H$461</f>
        <v>42794.569612353123</v>
      </c>
      <c r="BI22" s="492">
        <f>+[59]MACRO!$H$461</f>
        <v>43169.462791503829</v>
      </c>
      <c r="BJ22" s="492">
        <f>+[60]MACRO!$H$461</f>
        <v>43318.307210508341</v>
      </c>
      <c r="BK22" s="583">
        <f>+[61]MACRO!$H$461</f>
        <v>44274.85052907245</v>
      </c>
      <c r="BL22" s="422">
        <f>+BK22-BF22</f>
        <v>2806.3574029359734</v>
      </c>
      <c r="BM22" s="559">
        <f>+(BK22/BF22-1)</f>
        <v>6.7674448512024643E-2</v>
      </c>
      <c r="BN22" s="539"/>
      <c r="BO22" s="533"/>
      <c r="BP22" s="534"/>
      <c r="BQ22" s="384"/>
      <c r="BR22" s="394"/>
    </row>
    <row r="23" spans="1:70" x14ac:dyDescent="0.2">
      <c r="A23" s="3"/>
      <c r="B23" s="64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f>-[20]MACRO!$H$758</f>
        <v>18102.7542961</v>
      </c>
      <c r="V23" s="334">
        <f>-[21]MACRO!$H$758</f>
        <v>18598.362352259999</v>
      </c>
      <c r="W23" s="334">
        <f>-[22]MACRO!$H$760</f>
        <v>19111.73186009</v>
      </c>
      <c r="X23" s="334">
        <f>-[23]MACRO!$H$760</f>
        <v>19273.531734020002</v>
      </c>
      <c r="Y23" s="334">
        <f>-[24]MACRO!$H$760</f>
        <v>19243.647425389998</v>
      </c>
      <c r="Z23" s="334">
        <f>-[25]MACRO!$H$765</f>
        <v>19374.36654173</v>
      </c>
      <c r="AA23" s="334">
        <f>-[26]MACRO!$H$765</f>
        <v>19720.61379911</v>
      </c>
      <c r="AB23" s="334">
        <f>-[27]MACRO!$H$765</f>
        <v>20284.401278249999</v>
      </c>
      <c r="AC23" s="334">
        <f>-[28]MACRO!$H$765</f>
        <v>24585.622267570001</v>
      </c>
      <c r="AD23" s="334">
        <f>-[29]MACRO!$H$765</f>
        <v>23610.75446086</v>
      </c>
      <c r="AE23" s="334">
        <f>-[30]MACRO!$H$765</f>
        <v>23358.59828613</v>
      </c>
      <c r="AF23" s="334">
        <f>-[31]MACRO!$H$773</f>
        <v>23139.315299330003</v>
      </c>
      <c r="AG23" s="334">
        <f>-[32]MACRO!$H$773</f>
        <v>23402.080371930002</v>
      </c>
      <c r="AH23" s="334">
        <f>-[33]MACRO!$H$773</f>
        <v>23750.031313169999</v>
      </c>
      <c r="AI23" s="334">
        <f>-[34]MACRO!$H$773</f>
        <v>24643.468506500001</v>
      </c>
      <c r="AJ23" s="334">
        <f>-[35]MACRO!$H$773</f>
        <v>25057.120629689998</v>
      </c>
      <c r="AK23" s="334">
        <f>-[36]MACRO!$H$775</f>
        <v>25377.25269935</v>
      </c>
      <c r="AL23" s="334">
        <f>-[37]MACRO!$H$775</f>
        <v>25704.845640889998</v>
      </c>
      <c r="AM23" s="334">
        <f>-[38]MACRO!$H$775</f>
        <v>26070.208207840002</v>
      </c>
      <c r="AN23" s="334">
        <f>-[39]MACRO!$H$775</f>
        <v>26355.467033959998</v>
      </c>
      <c r="AO23" s="334">
        <f>-[40]MACRO!$H$775</f>
        <v>28585.08716164</v>
      </c>
      <c r="AP23" s="334">
        <f>-[41]MACRO!$H$775</f>
        <v>27904.261643500002</v>
      </c>
      <c r="AQ23" s="334">
        <f>-[42]MACRO!$H$775</f>
        <v>27651.922542569999</v>
      </c>
      <c r="AR23" s="334">
        <f>-[43]MACRO!$H$775</f>
        <v>27218.263037979999</v>
      </c>
      <c r="AS23" s="334">
        <f>-[43]MACRO!$H$775</f>
        <v>27218.263037979999</v>
      </c>
      <c r="AT23" s="334">
        <f>-[44]MACRO!$H$775</f>
        <v>27520.15649094</v>
      </c>
      <c r="AU23" s="479">
        <f>-[45]MACRO!$H$775</f>
        <v>28361.012891549999</v>
      </c>
      <c r="AV23" s="507">
        <f>-[46]MACRO!$H$775</f>
        <v>28505.503548820001</v>
      </c>
      <c r="AW23" s="334">
        <f>-[47]MACRO!$H$775</f>
        <v>28584.619925939998</v>
      </c>
      <c r="AX23" s="334">
        <f>-[48]MACRO!$H$775</f>
        <v>29033.313723990002</v>
      </c>
      <c r="AY23" s="334">
        <f>-[49]MACRO!$H$775</f>
        <v>29535.500998900003</v>
      </c>
      <c r="AZ23" s="334">
        <f>-[50]MACRO!$H$775</f>
        <v>30131.992337290001</v>
      </c>
      <c r="BA23" s="334">
        <f>-[51]MACRO!$H$775</f>
        <v>32665.086160450002</v>
      </c>
      <c r="BB23" s="334">
        <f>-[52]MACRO!$H$775</f>
        <v>31825.354411959997</v>
      </c>
      <c r="BC23" s="334">
        <f>-[53]MACRO!$H$775</f>
        <v>31105.858646380002</v>
      </c>
      <c r="BD23" s="334">
        <f>-[54]MACRO!$H$775</f>
        <v>30802.19048116</v>
      </c>
      <c r="BE23" s="334">
        <f>-[55]MACRO!$H$775</f>
        <v>30829.345512419997</v>
      </c>
      <c r="BF23" s="334">
        <f>-[56]MACRO!$H$776</f>
        <v>31213.30397026</v>
      </c>
      <c r="BG23" s="588">
        <f>-[57]MACRO!$H$776</f>
        <v>31308.27580223</v>
      </c>
      <c r="BH23" s="492">
        <f>-[58]MACRO!$H$776</f>
        <v>31371.750627500001</v>
      </c>
      <c r="BI23" s="492">
        <f>-[59]MACRO!$H$776</f>
        <v>31557.664476729999</v>
      </c>
      <c r="BJ23" s="492">
        <f>-[60]MACRO!$H$776</f>
        <v>31632.62245594</v>
      </c>
      <c r="BK23" s="583">
        <f>-[61]MACRO!$H$776</f>
        <v>31796.824855769999</v>
      </c>
      <c r="BL23" s="422">
        <f>+BK23-BF23</f>
        <v>583.52088550999906</v>
      </c>
      <c r="BM23" s="559">
        <f>+(BK23/BF23-1)</f>
        <v>1.8694620924012861E-2</v>
      </c>
      <c r="BN23" s="539"/>
      <c r="BO23" s="533"/>
      <c r="BP23" s="534"/>
      <c r="BQ23" s="384"/>
      <c r="BR23" s="394"/>
    </row>
    <row r="24" spans="1:70" x14ac:dyDescent="0.2">
      <c r="A24" s="3"/>
      <c r="B24" s="649"/>
      <c r="C24" s="18"/>
      <c r="D24" s="23" t="s">
        <v>32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f>+[20]MACRO!$H$475</f>
        <v>-40725.721875145755</v>
      </c>
      <c r="V24" s="334">
        <f>+[21]MACRO!$H$475</f>
        <v>-40337.81012964726</v>
      </c>
      <c r="W24" s="334">
        <f>+[22]MACRO!$H$477</f>
        <v>-40393.376146655639</v>
      </c>
      <c r="X24" s="334">
        <f>+[23]MACRO!$H$477</f>
        <v>-40786.054479408231</v>
      </c>
      <c r="Y24" s="334">
        <f>+[24]MACRO!$H$477</f>
        <v>-41654.468781513388</v>
      </c>
      <c r="Z24" s="334">
        <f>+[25]MACRO!$H$480</f>
        <v>-43763.135008598176</v>
      </c>
      <c r="AA24" s="334">
        <f>+[26]MACRO!$H$480</f>
        <v>-44456.948586455765</v>
      </c>
      <c r="AB24" s="334">
        <f>+[27]MACRO!$H$480</f>
        <v>-44259.691304114895</v>
      </c>
      <c r="AC24" s="334">
        <f>+[28]MACRO!$H$480</f>
        <v>-42938.181556930314</v>
      </c>
      <c r="AD24" s="334">
        <f>+[29]MACRO!$H$480</f>
        <v>-45901.140750460218</v>
      </c>
      <c r="AE24" s="334">
        <f>+[30]MACRO!$H$480</f>
        <v>-48312.242030117974</v>
      </c>
      <c r="AF24" s="334">
        <f>+[31]MACRO!$H$488</f>
        <v>-49213.248066820343</v>
      </c>
      <c r="AG24" s="334">
        <f>+[32]MACRO!$H$488</f>
        <v>-50678.862959427162</v>
      </c>
      <c r="AH24" s="334">
        <f>+[33]MACRO!$H$488</f>
        <v>-49812.623303278691</v>
      </c>
      <c r="AI24" s="334">
        <f>+[34]MACRO!$H$488</f>
        <v>-49325.781787705811</v>
      </c>
      <c r="AJ24" s="334">
        <f>+[35]MACRO!$H$488</f>
        <v>-50765.833533730947</v>
      </c>
      <c r="AK24" s="334">
        <f>+[36]MACRO!$H$490</f>
        <v>-54535.029617007371</v>
      </c>
      <c r="AL24" s="334">
        <f>+[37]MACRO!$H$490</f>
        <v>-52669.107745117784</v>
      </c>
      <c r="AM24" s="334">
        <f>+[38]MACRO!$H$490</f>
        <v>-55701.044226470614</v>
      </c>
      <c r="AN24" s="334">
        <f>+[39]MACRO!$H$490</f>
        <v>-56751.641763571315</v>
      </c>
      <c r="AO24" s="334">
        <f>+[40]MACRO!$H$490</f>
        <v>-53862.153016766635</v>
      </c>
      <c r="AP24" s="334">
        <f>+[41]MACRO!$H$490</f>
        <v>-57769.8499961743</v>
      </c>
      <c r="AQ24" s="334">
        <f>+[42]MACRO!$H$490</f>
        <v>-59738.430211019026</v>
      </c>
      <c r="AR24" s="334">
        <f>+[43]MACRO!$H$490</f>
        <v>-60223.761023498584</v>
      </c>
      <c r="AS24" s="334">
        <f>+[43]MACRO!$H$490</f>
        <v>-60223.761023498584</v>
      </c>
      <c r="AT24" s="334">
        <f>+[44]MACRO!$H$490</f>
        <v>-57693.920501219334</v>
      </c>
      <c r="AU24" s="479">
        <f>+[45]MACRO!$H$490</f>
        <v>-56975.733137620555</v>
      </c>
      <c r="AV24" s="507">
        <f>+[46]MACRO!$H$490</f>
        <v>-58945.687472738617</v>
      </c>
      <c r="AW24" s="334">
        <f>+[47]MACRO!$H$490</f>
        <v>-61032.358741471253</v>
      </c>
      <c r="AX24" s="334">
        <f>+[48]MACRO!$H$490</f>
        <v>-63022.789226928377</v>
      </c>
      <c r="AY24" s="334">
        <f>+[49]MACRO!$H$490</f>
        <v>-64938.716468228835</v>
      </c>
      <c r="AZ24" s="334">
        <f>+[50]MACRO!$H$490</f>
        <v>-65398.945782221133</v>
      </c>
      <c r="BA24" s="334">
        <f>+[51]MACRO!$H$490</f>
        <v>-62872.216313078694</v>
      </c>
      <c r="BB24" s="334">
        <f>+[52]MACRO!$H$490</f>
        <v>-64550.757844114705</v>
      </c>
      <c r="BC24" s="334">
        <f>+[53]MACRO!$H$490</f>
        <v>-65624.384177470201</v>
      </c>
      <c r="BD24" s="334">
        <f>+[54]MACRO!$H$490</f>
        <v>-66525.27326386956</v>
      </c>
      <c r="BE24" s="334">
        <f>+[55]MACRO!$H$490</f>
        <v>-66625.615153915016</v>
      </c>
      <c r="BF24" s="334">
        <f>+[56]MACRO!$H$491</f>
        <v>-64879.032880982537</v>
      </c>
      <c r="BG24" s="588">
        <f>+[57]MACRO!$H$491</f>
        <v>-64738.657152184052</v>
      </c>
      <c r="BH24" s="492">
        <f>+[58]MACRO!$H$491</f>
        <v>-65370.667335155224</v>
      </c>
      <c r="BI24" s="492">
        <f>+[59]MACRO!$H$491</f>
        <v>-64930.988589142398</v>
      </c>
      <c r="BJ24" s="492">
        <f>+[60]MACRO!$H$491</f>
        <v>-64880.684159453391</v>
      </c>
      <c r="BK24" s="583">
        <f>+[61]MACRO!$H$491</f>
        <v>-64854.560661070173</v>
      </c>
      <c r="BL24" s="422">
        <f>+BK24-BF24</f>
        <v>24.47221991236438</v>
      </c>
      <c r="BM24" s="559">
        <f>+(BK24/BF24-1)</f>
        <v>-3.7719766811661337E-4</v>
      </c>
      <c r="BN24" s="539"/>
      <c r="BO24" s="533"/>
      <c r="BP24" s="534"/>
      <c r="BQ24" s="384"/>
      <c r="BR24" s="394"/>
    </row>
    <row r="25" spans="1:70" x14ac:dyDescent="0.2">
      <c r="A25" s="3"/>
      <c r="B25" s="649"/>
      <c r="C25" s="18"/>
      <c r="D25" s="23" t="s">
        <v>133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f>+[20]MACRO!$H$477</f>
        <v>-14535.737468911831</v>
      </c>
      <c r="V25" s="334">
        <f>+[21]MACRO!$H$477</f>
        <v>-14921.374404462185</v>
      </c>
      <c r="W25" s="334">
        <f>+[22]MACRO!$H$479</f>
        <v>-16051.877890473672</v>
      </c>
      <c r="X25" s="334">
        <f>+[23]MACRO!$H$479</f>
        <v>-17451.955823853175</v>
      </c>
      <c r="Y25" s="334">
        <f>+[24]MACRO!$H$479</f>
        <v>-18695.844246511424</v>
      </c>
      <c r="Z25" s="334">
        <f>+[25]MACRO!$H$482</f>
        <v>-19622.556781357227</v>
      </c>
      <c r="AA25" s="334">
        <f>+[26]MACRO!$H$482</f>
        <v>-20206.230807064483</v>
      </c>
      <c r="AB25" s="334">
        <f>+[27]MACRO!$H$482</f>
        <v>-20380.590815921831</v>
      </c>
      <c r="AC25" s="334">
        <f>+[28]MACRO!$H$482</f>
        <v>-19033.717018390915</v>
      </c>
      <c r="AD25" s="334">
        <f>+[29]MACRO!$H$482</f>
        <v>-20395.683250635</v>
      </c>
      <c r="AE25" s="334">
        <f>+[30]MACRO!$H$482</f>
        <v>-21398.482908853341</v>
      </c>
      <c r="AF25" s="334">
        <f>+[31]MACRO!$H$490</f>
        <v>-20515.376437737094</v>
      </c>
      <c r="AG25" s="334">
        <f>+[32]MACRO!$H$490</f>
        <v>-22720.668638767067</v>
      </c>
      <c r="AH25" s="334">
        <f>+[33]MACRO!$H$490</f>
        <v>-24039.985288323489</v>
      </c>
      <c r="AI25" s="334">
        <f>+[34]MACRO!$H$490</f>
        <v>-23153.205909382435</v>
      </c>
      <c r="AJ25" s="334">
        <f>+[35]MACRO!$H$490</f>
        <v>-24583.659881486485</v>
      </c>
      <c r="AK25" s="334">
        <f>+[36]MACRO!$H$492</f>
        <v>-25793.166578529057</v>
      </c>
      <c r="AL25" s="334">
        <f>+[37]MACRO!$H$492</f>
        <v>-26182.201187179729</v>
      </c>
      <c r="AM25" s="334">
        <f>+[38]MACRO!$H$492</f>
        <v>-26496.70745701719</v>
      </c>
      <c r="AN25" s="334">
        <f>+[39]MACRO!$H$492</f>
        <v>-25953.885438716748</v>
      </c>
      <c r="AO25" s="334">
        <f>+[40]MACRO!$H$492</f>
        <v>-23173.066224700859</v>
      </c>
      <c r="AP25" s="334">
        <f>+[41]MACRO!$H$492</f>
        <v>-26541.033333331314</v>
      </c>
      <c r="AQ25" s="334">
        <f>+[42]MACRO!$H$492</f>
        <v>-27446.881256662626</v>
      </c>
      <c r="AR25" s="334">
        <f>+[43]MACRO!$H$492</f>
        <v>-27543.760398590322</v>
      </c>
      <c r="AS25" s="334">
        <f>+[43]MACRO!$H$492</f>
        <v>-27543.760398590322</v>
      </c>
      <c r="AT25" s="334">
        <f>+[44]MACRO!$H$492</f>
        <v>-29605.296675278201</v>
      </c>
      <c r="AU25" s="479">
        <f>+[45]MACRO!$H$492</f>
        <v>-29131.072663441082</v>
      </c>
      <c r="AV25" s="507">
        <f>+[46]MACRO!$H$492</f>
        <v>-31072.632851696399</v>
      </c>
      <c r="AW25" s="334">
        <f>+[47]MACRO!$H$492</f>
        <v>-32641.457819049901</v>
      </c>
      <c r="AX25" s="334">
        <f>+[48]MACRO!$H$492</f>
        <v>-31624.133640066389</v>
      </c>
      <c r="AY25" s="334">
        <f>+[49]MACRO!$H$492</f>
        <v>-35032.5816729574</v>
      </c>
      <c r="AZ25" s="334">
        <f>+[50]MACRO!$H$492</f>
        <v>-34484.140394999115</v>
      </c>
      <c r="BA25" s="334">
        <f>+[51]MACRO!$H$492</f>
        <v>-29315.840023017481</v>
      </c>
      <c r="BB25" s="334">
        <f>+[52]MACRO!$H$492</f>
        <v>-31541.942415822032</v>
      </c>
      <c r="BC25" s="334">
        <f>+[53]MACRO!$H$492</f>
        <v>-33255.567901084709</v>
      </c>
      <c r="BD25" s="334">
        <f>+[54]MACRO!$H$492</f>
        <v>-34246.472273750573</v>
      </c>
      <c r="BE25" s="334">
        <f>+[55]MACRO!$H$492</f>
        <v>-36347.891468227179</v>
      </c>
      <c r="BF25" s="334">
        <f>+[56]MACRO!$H$493</f>
        <v>-36985.8815015625</v>
      </c>
      <c r="BG25" s="588">
        <f>+[57]MACRO!$H$493</f>
        <v>-36047.048399455569</v>
      </c>
      <c r="BH25" s="492">
        <f>+[58]MACRO!$H$493</f>
        <v>-35892.075640909636</v>
      </c>
      <c r="BI25" s="492">
        <f>+[59]MACRO!$H$493</f>
        <v>-35472.840049554499</v>
      </c>
      <c r="BJ25" s="492">
        <f>+[60]MACRO!$H$493</f>
        <v>-35337.216491562409</v>
      </c>
      <c r="BK25" s="583">
        <f>+[61]MACRO!$H$493</f>
        <v>-34374.450266142085</v>
      </c>
      <c r="BL25" s="422">
        <f>+BK25-BF25</f>
        <v>2611.4312354204158</v>
      </c>
      <c r="BM25" s="559">
        <f>+(BK25/BF25-1)</f>
        <v>-7.0606164552549422E-2</v>
      </c>
      <c r="BN25" s="539"/>
      <c r="BO25" s="533"/>
      <c r="BP25" s="534"/>
      <c r="BQ25" s="384"/>
      <c r="BR25" s="394"/>
    </row>
    <row r="26" spans="1:70" x14ac:dyDescent="0.2">
      <c r="A26" s="3"/>
      <c r="B26" s="649"/>
      <c r="C26" s="18"/>
      <c r="D26" s="23" t="s">
        <v>52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f>+[20]MACRO!$H$571</f>
        <v>-17967.089572642988</v>
      </c>
      <c r="V26" s="334">
        <f>+[21]MACRO!$H$571</f>
        <v>-17643.253721721238</v>
      </c>
      <c r="W26" s="334">
        <f>+[22]MACRO!$H$573</f>
        <v>-16488.943533693175</v>
      </c>
      <c r="X26" s="334">
        <f>+[23]MACRO!$H$573</f>
        <v>-15181.695760457156</v>
      </c>
      <c r="Y26" s="334">
        <f>+[24]MACRO!$H$573</f>
        <v>-14819.505187907649</v>
      </c>
      <c r="Z26" s="334">
        <f>+[25]MACRO!$H$576</f>
        <v>-14921.033673561766</v>
      </c>
      <c r="AA26" s="334">
        <f>+[26]MACRO!$H$576</f>
        <v>-14583.654231762826</v>
      </c>
      <c r="AB26" s="334">
        <f>+[27]MACRO!$H$576</f>
        <v>-14896.478423731094</v>
      </c>
      <c r="AC26" s="334">
        <f>+[28]MACRO!$H$576</f>
        <v>-14704.160838856733</v>
      </c>
      <c r="AD26" s="334">
        <f>+[29]MACRO!$H$576</f>
        <v>-16547.518132181747</v>
      </c>
      <c r="AE26" s="334">
        <f>+[30]MACRO!$H$576</f>
        <v>-17353.253833951283</v>
      </c>
      <c r="AF26" s="334">
        <f>+[31]MACRO!$H$584</f>
        <v>-18832.422434563217</v>
      </c>
      <c r="AG26" s="334">
        <f>+[32]MACRO!$H$584</f>
        <v>-16541.199891206677</v>
      </c>
      <c r="AH26" s="334">
        <f>+[33]MACRO!$H$584</f>
        <v>-14798.576372494417</v>
      </c>
      <c r="AI26" s="334">
        <f>+[34]MACRO!$H$584</f>
        <v>-15417.899710246402</v>
      </c>
      <c r="AJ26" s="334">
        <f>+[35]MACRO!$H$584</f>
        <v>-14756.253954824369</v>
      </c>
      <c r="AK26" s="334">
        <f>+[36]MACRO!$H$586</f>
        <v>-15420.415763254936</v>
      </c>
      <c r="AL26" s="334">
        <f>+[37]MACRO!$H$586</f>
        <v>-16245.369206212748</v>
      </c>
      <c r="AM26" s="334">
        <f>+[38]MACRO!$H$586</f>
        <v>-16994.543772583562</v>
      </c>
      <c r="AN26" s="334">
        <f>+[39]MACRO!$H$586</f>
        <v>-19929.26712322302</v>
      </c>
      <c r="AO26" s="334">
        <f>+[40]MACRO!$H$586</f>
        <v>-21701.00591389733</v>
      </c>
      <c r="AP26" s="334">
        <f>+[41]MACRO!$H$586</f>
        <v>-20246.796095773112</v>
      </c>
      <c r="AQ26" s="334">
        <f>+[42]MACRO!$H$586</f>
        <v>-20571.4316203981</v>
      </c>
      <c r="AR26" s="334">
        <f>+[43]MACRO!$H$586</f>
        <v>-22326.533949544522</v>
      </c>
      <c r="AS26" s="334">
        <f>+[43]MACRO!$H$586</f>
        <v>-22326.533949544522</v>
      </c>
      <c r="AT26" s="334">
        <f>+[44]MACRO!$H$586</f>
        <v>-19838.06178149717</v>
      </c>
      <c r="AU26" s="479">
        <f>+[45]MACRO!$H$586</f>
        <v>-19539.097882377366</v>
      </c>
      <c r="AV26" s="507">
        <f>+[46]MACRO!$H$586</f>
        <v>-18762.257665101504</v>
      </c>
      <c r="AW26" s="334">
        <f>+[47]MACRO!$H$586</f>
        <v>-18818.130745646205</v>
      </c>
      <c r="AX26" s="334">
        <f>+[48]MACRO!$H$586</f>
        <v>-20192.1969835573</v>
      </c>
      <c r="AY26" s="334">
        <f>+[49]MACRO!$H$586</f>
        <v>-19470.972214351772</v>
      </c>
      <c r="AZ26" s="334">
        <f>+[50]MACRO!$H$586</f>
        <v>-20447.734649081129</v>
      </c>
      <c r="BA26" s="334">
        <f>+[51]MACRO!$H$586</f>
        <v>-23618.72316683974</v>
      </c>
      <c r="BB26" s="334">
        <f>+[52]MACRO!$H$586</f>
        <v>-21839.23874024655</v>
      </c>
      <c r="BC26" s="334">
        <f>+[53]MACRO!$H$586</f>
        <v>-22485.320305321387</v>
      </c>
      <c r="BD26" s="334">
        <f>+[54]MACRO!$H$586</f>
        <v>-22255.265643937066</v>
      </c>
      <c r="BE26" s="334">
        <f>+[55]MACRO!$H$586</f>
        <v>-21215.278015536576</v>
      </c>
      <c r="BF26" s="334">
        <f>+[56]MACRO!$H$587</f>
        <v>-20248.913731349676</v>
      </c>
      <c r="BG26" s="588">
        <f>+[57]MACRO!$H$587</f>
        <v>-21100.976881861607</v>
      </c>
      <c r="BH26" s="492">
        <f>+[58]MACRO!$H$587</f>
        <v>-21418.211408729519</v>
      </c>
      <c r="BI26" s="492">
        <f>+[59]MACRO!$H$587</f>
        <v>-21608.308425514628</v>
      </c>
      <c r="BJ26" s="492">
        <f>+[60]MACRO!$H$587</f>
        <v>-21683.230848705538</v>
      </c>
      <c r="BK26" s="583">
        <f>+[61]MACRO!$H$587</f>
        <v>-22368.947867990846</v>
      </c>
      <c r="BL26" s="422">
        <f>+BK26-BF26</f>
        <v>-2120.0341366411703</v>
      </c>
      <c r="BM26" s="559">
        <f>+(BK26/BF26-1)</f>
        <v>0.10469866012411821</v>
      </c>
      <c r="BN26" s="539"/>
      <c r="BO26" s="533"/>
      <c r="BP26" s="534"/>
      <c r="BQ26" s="384"/>
      <c r="BR26" s="394"/>
    </row>
    <row r="27" spans="1:70" ht="13.5" x14ac:dyDescent="0.2">
      <c r="A27" s="3"/>
      <c r="B27" s="649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12"/>
      <c r="BH27" s="248"/>
      <c r="BI27" s="248"/>
      <c r="BJ27" s="248"/>
      <c r="BK27" s="545"/>
      <c r="BL27" s="424"/>
      <c r="BM27" s="561"/>
      <c r="BN27" s="539"/>
      <c r="BO27" s="533"/>
      <c r="BP27" s="534"/>
      <c r="BQ27" s="384"/>
    </row>
    <row r="28" spans="1:70" x14ac:dyDescent="0.2">
      <c r="A28" s="3"/>
      <c r="B28" s="649"/>
      <c r="C28" s="18"/>
      <c r="D28" s="23" t="s">
        <v>88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541">
        <v>48909.182182654666</v>
      </c>
      <c r="BH28" s="495">
        <v>49383.464418874675</v>
      </c>
      <c r="BI28" s="495">
        <v>49462.346185994676</v>
      </c>
      <c r="BJ28" s="495">
        <v>49718.810383994671</v>
      </c>
      <c r="BK28" s="495">
        <v>50238.05747737467</v>
      </c>
      <c r="BL28" s="422">
        <f>+BK28-BF28</f>
        <v>1826.1842031300039</v>
      </c>
      <c r="BM28" s="559">
        <f>+(BK28/BF28-1)</f>
        <v>3.772182482559594E-2</v>
      </c>
      <c r="BN28" s="539"/>
      <c r="BO28" s="533"/>
      <c r="BP28" s="534"/>
      <c r="BQ28" s="384"/>
      <c r="BR28" s="394"/>
    </row>
    <row r="29" spans="1:70" x14ac:dyDescent="0.2">
      <c r="A29" s="3"/>
      <c r="B29" s="649"/>
      <c r="C29" s="18"/>
      <c r="D29" s="23" t="s">
        <v>89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541">
        <v>80435.772325595375</v>
      </c>
      <c r="BH29" s="495">
        <v>81091.954463795366</v>
      </c>
      <c r="BI29" s="495">
        <v>81125.715955985375</v>
      </c>
      <c r="BJ29" s="495">
        <v>81792.495635005369</v>
      </c>
      <c r="BK29" s="495">
        <v>83145.717533775372</v>
      </c>
      <c r="BL29" s="422">
        <f>+BK29-BF29</f>
        <v>3377.1027307400072</v>
      </c>
      <c r="BM29" s="559">
        <f>+(BK29/BF29-1)</f>
        <v>4.2336233856871575E-2</v>
      </c>
      <c r="BN29" s="539"/>
      <c r="BO29" s="533"/>
      <c r="BP29" s="534"/>
      <c r="BQ29" s="384"/>
      <c r="BR29" s="394"/>
    </row>
    <row r="30" spans="1:70" x14ac:dyDescent="0.2">
      <c r="A30" s="3"/>
      <c r="B30" s="649"/>
      <c r="C30" s="18"/>
      <c r="D30" s="23" t="s">
        <v>90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541">
        <v>120485.94967953498</v>
      </c>
      <c r="BH30" s="495">
        <v>121114.63669810498</v>
      </c>
      <c r="BI30" s="495">
        <v>121136.04722869498</v>
      </c>
      <c r="BJ30" s="495">
        <v>121883.74630730496</v>
      </c>
      <c r="BK30" s="495">
        <v>123179.99708202499</v>
      </c>
      <c r="BL30" s="422">
        <f>+BK30-BF30</f>
        <v>3362.9369723500276</v>
      </c>
      <c r="BM30" s="559">
        <f>+(BK30/BF30-1)</f>
        <v>2.8067263286811972E-2</v>
      </c>
      <c r="BN30" s="539"/>
      <c r="BO30" s="533"/>
      <c r="BP30" s="534"/>
      <c r="BQ30" s="384"/>
      <c r="BR30" s="394"/>
    </row>
    <row r="31" spans="1:70" x14ac:dyDescent="0.2">
      <c r="A31" s="3"/>
      <c r="B31" s="49"/>
      <c r="C31" s="18"/>
      <c r="D31" s="108" t="s">
        <v>64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46"/>
      <c r="BH31" s="501"/>
      <c r="BI31" s="501"/>
      <c r="BJ31" s="501"/>
      <c r="BK31" s="547"/>
      <c r="BL31" s="424"/>
      <c r="BM31" s="562"/>
      <c r="BN31" s="539"/>
      <c r="BO31" s="533"/>
      <c r="BP31" s="534"/>
      <c r="BQ31" s="384"/>
    </row>
    <row r="32" spans="1:70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635">
        <v>0.84942141575853292</v>
      </c>
      <c r="BH32" s="636">
        <v>0.85198298976897302</v>
      </c>
      <c r="BI32" s="636">
        <v>0.85041337044426046</v>
      </c>
      <c r="BJ32" s="636">
        <v>0.84847507580416004</v>
      </c>
      <c r="BK32" s="636">
        <v>0.84923004845055261</v>
      </c>
      <c r="BL32" s="422"/>
      <c r="BM32" s="559"/>
      <c r="BN32" s="539"/>
      <c r="BO32" s="533"/>
      <c r="BP32" s="534"/>
      <c r="BQ32" s="384"/>
    </row>
    <row r="33" spans="1:70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635">
        <v>0.78789324098994862</v>
      </c>
      <c r="BH33" s="636">
        <v>0.79015592603518092</v>
      </c>
      <c r="BI33" s="636">
        <v>0.78847705323140049</v>
      </c>
      <c r="BJ33" s="636">
        <v>0.78886039957470866</v>
      </c>
      <c r="BK33" s="636">
        <v>0.79156540533019681</v>
      </c>
      <c r="BL33" s="422"/>
      <c r="BM33" s="559"/>
      <c r="BN33" s="539"/>
      <c r="BO33" s="533"/>
      <c r="BP33" s="534"/>
      <c r="BQ33" s="384"/>
    </row>
    <row r="34" spans="1:70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635">
        <v>0.79525775759319062</v>
      </c>
      <c r="BH34" s="636">
        <v>0.79681440592062602</v>
      </c>
      <c r="BI34" s="636">
        <v>0.79582059277568151</v>
      </c>
      <c r="BJ34" s="636">
        <v>0.7958510059584486</v>
      </c>
      <c r="BK34" s="636">
        <v>0.79798717202979075</v>
      </c>
      <c r="BL34" s="422"/>
      <c r="BM34" s="559"/>
      <c r="BN34" s="539"/>
      <c r="BO34" s="533"/>
      <c r="BP34" s="534"/>
      <c r="BQ34" s="384"/>
    </row>
    <row r="35" spans="1:70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635">
        <v>0.72593530035260412</v>
      </c>
      <c r="BH35" s="636">
        <v>0.72765423107043781</v>
      </c>
      <c r="BI35" s="636">
        <v>0.72577936923117681</v>
      </c>
      <c r="BJ35" s="636">
        <v>0.72598495342806624</v>
      </c>
      <c r="BK35" s="636">
        <v>0.72742588229590688</v>
      </c>
      <c r="BL35" s="422"/>
      <c r="BM35" s="559"/>
      <c r="BN35" s="539"/>
      <c r="BO35" s="533"/>
      <c r="BP35" s="534"/>
      <c r="BQ35" s="384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15"/>
      <c r="BH36" s="249"/>
      <c r="BI36" s="249"/>
      <c r="BJ36" s="249"/>
      <c r="BK36" s="548"/>
      <c r="BL36" s="425" t="s">
        <v>3</v>
      </c>
      <c r="BM36" s="563"/>
      <c r="BN36" s="539"/>
      <c r="BO36" s="533"/>
      <c r="BP36" s="534"/>
      <c r="BQ36" s="384"/>
    </row>
    <row r="37" spans="1:70" ht="12.75" customHeight="1" x14ac:dyDescent="0.2">
      <c r="A37" s="3"/>
      <c r="B37" s="65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f>+N38+N41</f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16">
        <v>2709.3088654475218</v>
      </c>
      <c r="BH37" s="629">
        <v>2709.3088654475218</v>
      </c>
      <c r="BI37" s="629">
        <v>2709.3088654475218</v>
      </c>
      <c r="BJ37" s="629">
        <v>2709.3088654475218</v>
      </c>
      <c r="BK37" s="606">
        <v>2694.0815786763851</v>
      </c>
      <c r="BL37" s="422">
        <f>+BK37-BF37</f>
        <v>-15.227286771136733</v>
      </c>
      <c r="BM37" s="559">
        <f>+(BK37/BF37-1)</f>
        <v>-5.6203583745412233E-3</v>
      </c>
      <c r="BN37" s="539"/>
      <c r="BO37" s="533"/>
      <c r="BP37" s="534"/>
      <c r="BQ37" s="384"/>
      <c r="BR37" s="394"/>
    </row>
    <row r="38" spans="1:70" x14ac:dyDescent="0.2">
      <c r="A38" s="3"/>
      <c r="B38" s="65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f>+N39/N83+N40</f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17">
        <v>1045.0107603469389</v>
      </c>
      <c r="BH38" s="630">
        <v>1045.0107603469389</v>
      </c>
      <c r="BI38" s="630">
        <v>1045.0107603469389</v>
      </c>
      <c r="BJ38" s="630">
        <v>1045.0107603469389</v>
      </c>
      <c r="BK38" s="607">
        <v>1045.1066514183676</v>
      </c>
      <c r="BL38" s="422">
        <f>+BK38-BF38</f>
        <v>9.5891071428695795E-2</v>
      </c>
      <c r="BM38" s="559">
        <f>+(BK38/BF38-1)</f>
        <v>9.1760845980948247E-5</v>
      </c>
      <c r="BN38" s="539"/>
      <c r="BO38" s="533"/>
      <c r="BP38" s="534"/>
      <c r="BQ38" s="384"/>
      <c r="BR38" s="394"/>
    </row>
    <row r="39" spans="1:70" ht="12.75" customHeight="1" x14ac:dyDescent="0.2">
      <c r="A39" s="3"/>
      <c r="B39" s="651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508">
        <v>7168.7738159800019</v>
      </c>
      <c r="BH39" s="631">
        <v>7168.7738159800019</v>
      </c>
      <c r="BI39" s="631">
        <v>7168.7738159800019</v>
      </c>
      <c r="BJ39" s="631">
        <v>7168.7738159800019</v>
      </c>
      <c r="BK39" s="532">
        <v>7169.4316287300016</v>
      </c>
      <c r="BL39" s="422">
        <f>+BK39-BF39</f>
        <v>0.65781274999972084</v>
      </c>
      <c r="BM39" s="559">
        <f>+(BK39/BF39-1)</f>
        <v>9.1760845980948247E-5</v>
      </c>
      <c r="BN39" s="539"/>
      <c r="BO39" s="533"/>
      <c r="BP39" s="534"/>
      <c r="BQ39" s="384"/>
      <c r="BR39" s="394"/>
    </row>
    <row r="40" spans="1:70" ht="12.75" customHeight="1" x14ac:dyDescent="0.2">
      <c r="A40" s="3"/>
      <c r="B40" s="651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508">
        <v>1.0047518372857667E-14</v>
      </c>
      <c r="BH40" s="631">
        <v>1.0047518372857667E-14</v>
      </c>
      <c r="BI40" s="631">
        <v>1.0047518372857667E-14</v>
      </c>
      <c r="BJ40" s="631">
        <v>1.0047518372857667E-14</v>
      </c>
      <c r="BK40" s="532">
        <v>1.0047518372857667E-14</v>
      </c>
      <c r="BL40" s="422" t="s">
        <v>3</v>
      </c>
      <c r="BM40" s="559" t="s">
        <v>3</v>
      </c>
      <c r="BN40" s="539"/>
      <c r="BO40" s="533"/>
      <c r="BP40" s="534"/>
      <c r="BQ40" s="384"/>
      <c r="BR40" s="394"/>
    </row>
    <row r="41" spans="1:70" x14ac:dyDescent="0.2">
      <c r="A41" s="3"/>
      <c r="B41" s="65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f>+N42/N83+N44</f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17">
        <v>1664.2981051005829</v>
      </c>
      <c r="BH41" s="630">
        <v>1664.2981051005829</v>
      </c>
      <c r="BI41" s="630">
        <v>1664.2981051005829</v>
      </c>
      <c r="BJ41" s="630">
        <v>1664.2981051005829</v>
      </c>
      <c r="BK41" s="607">
        <v>1648.9749272580173</v>
      </c>
      <c r="BL41" s="422">
        <f>+BK41-BF41</f>
        <v>-15.323177842565656</v>
      </c>
      <c r="BM41" s="559">
        <f>+(BK41/BF41-1)</f>
        <v>-9.2069911006956717E-3</v>
      </c>
      <c r="BN41" s="539"/>
      <c r="BO41" s="533"/>
      <c r="BP41" s="534"/>
      <c r="BQ41" s="384"/>
      <c r="BR41" s="394"/>
    </row>
    <row r="42" spans="1:70" x14ac:dyDescent="0.2">
      <c r="A42" s="3"/>
      <c r="B42" s="651"/>
      <c r="C42" s="18"/>
      <c r="D42" s="23" t="s">
        <v>21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508">
        <v>11417.085000989999</v>
      </c>
      <c r="BH42" s="631">
        <v>11417.085000989999</v>
      </c>
      <c r="BI42" s="631">
        <v>11417.085000989999</v>
      </c>
      <c r="BJ42" s="631">
        <v>11417.085000989999</v>
      </c>
      <c r="BK42" s="532">
        <v>11311.968000989998</v>
      </c>
      <c r="BL42" s="422">
        <f>+BK42-BF42</f>
        <v>-105.11700000000019</v>
      </c>
      <c r="BM42" s="559">
        <f>+(BK42/BF42-1)</f>
        <v>-9.2069911006955607E-3</v>
      </c>
      <c r="BN42" s="539"/>
      <c r="BO42" s="533"/>
      <c r="BP42" s="534"/>
      <c r="BQ42" s="384"/>
      <c r="BR42" s="394"/>
    </row>
    <row r="43" spans="1:70" ht="12.75" customHeight="1" x14ac:dyDescent="0.2">
      <c r="A43" s="3"/>
      <c r="B43" s="651"/>
      <c r="C43" s="18"/>
      <c r="D43" s="23" t="s">
        <v>126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508">
        <v>151.14200098999984</v>
      </c>
      <c r="BH43" s="631">
        <v>151.14200098999984</v>
      </c>
      <c r="BI43" s="631">
        <v>151.14200098999984</v>
      </c>
      <c r="BJ43" s="631">
        <v>151.14200098999984</v>
      </c>
      <c r="BK43" s="532">
        <v>152.02500098999982</v>
      </c>
      <c r="BL43" s="422">
        <f>+BK43-BF43</f>
        <v>0.88299999999998136</v>
      </c>
      <c r="BM43" s="559">
        <f>+(BK43/BF43-1)</f>
        <v>5.8421881026862188E-3</v>
      </c>
      <c r="BN43" s="539"/>
      <c r="BO43" s="533"/>
      <c r="BP43" s="534"/>
      <c r="BQ43" s="384"/>
      <c r="BR43" s="394"/>
    </row>
    <row r="44" spans="1:70" x14ac:dyDescent="0.2">
      <c r="A44" s="3"/>
      <c r="B44" s="65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518">
        <v>-1.50712775592865E-14</v>
      </c>
      <c r="BH44" s="632">
        <v>-1.50712775592865E-14</v>
      </c>
      <c r="BI44" s="632">
        <v>-1.50712775592865E-14</v>
      </c>
      <c r="BJ44" s="632">
        <v>-1.50712775592865E-14</v>
      </c>
      <c r="BK44" s="608">
        <v>-1.50712775592865E-14</v>
      </c>
      <c r="BL44" s="422" t="s">
        <v>3</v>
      </c>
      <c r="BM44" s="559" t="s">
        <v>3</v>
      </c>
      <c r="BN44" s="539"/>
      <c r="BO44" s="533"/>
      <c r="BP44" s="534"/>
      <c r="BQ44" s="384"/>
    </row>
    <row r="45" spans="1:70" x14ac:dyDescent="0.2">
      <c r="A45" s="3"/>
      <c r="B45" s="651"/>
      <c r="C45" s="18"/>
      <c r="D45" s="23" t="s">
        <v>41</v>
      </c>
      <c r="E45" s="162">
        <f t="shared" ref="E45:K45" si="13">+E46+E49</f>
        <v>3.5868005738880919</v>
      </c>
      <c r="F45" s="162">
        <f t="shared" si="13"/>
        <v>0</v>
      </c>
      <c r="G45" s="162">
        <f t="shared" si="13"/>
        <v>4.3294978479196553</v>
      </c>
      <c r="H45" s="162">
        <f t="shared" si="13"/>
        <v>0</v>
      </c>
      <c r="I45" s="162">
        <f t="shared" si="13"/>
        <v>0</v>
      </c>
      <c r="J45" s="162">
        <f t="shared" si="13"/>
        <v>5.7388809182209476E-2</v>
      </c>
      <c r="K45" s="162">
        <f t="shared" si="13"/>
        <v>0</v>
      </c>
      <c r="L45" s="162">
        <f>+L46+L49</f>
        <v>0</v>
      </c>
      <c r="M45" s="161">
        <f>+M46+M49</f>
        <v>0.03</v>
      </c>
      <c r="N45" s="162">
        <f>+N46+N49</f>
        <v>0.02</v>
      </c>
      <c r="O45" s="162">
        <f>+O46+O49</f>
        <v>0.02</v>
      </c>
      <c r="P45" s="236">
        <v>0.02</v>
      </c>
      <c r="Q45" s="162">
        <v>0.02</v>
      </c>
      <c r="R45" s="162">
        <f t="shared" ref="R45:Y45" si="14">+R46+R49</f>
        <v>0</v>
      </c>
      <c r="S45" s="260">
        <f t="shared" si="14"/>
        <v>0</v>
      </c>
      <c r="T45" s="260">
        <f t="shared" si="14"/>
        <v>0</v>
      </c>
      <c r="U45" s="260">
        <f t="shared" si="14"/>
        <v>0</v>
      </c>
      <c r="V45" s="260">
        <f t="shared" si="14"/>
        <v>0</v>
      </c>
      <c r="W45" s="260">
        <f t="shared" si="14"/>
        <v>0</v>
      </c>
      <c r="X45" s="260">
        <f t="shared" si="14"/>
        <v>0</v>
      </c>
      <c r="Y45" s="260">
        <f t="shared" si="14"/>
        <v>0</v>
      </c>
      <c r="Z45" s="260">
        <v>0</v>
      </c>
      <c r="AA45" s="260">
        <f>+AA46+AA49</f>
        <v>0</v>
      </c>
      <c r="AB45" s="260">
        <f>+AB46+AB49</f>
        <v>9.5504655172413792E-3</v>
      </c>
      <c r="AC45" s="260">
        <f>+AC46+AC49</f>
        <v>15.950432276657061</v>
      </c>
      <c r="AD45" s="260">
        <v>0</v>
      </c>
      <c r="AE45" s="260">
        <v>0</v>
      </c>
      <c r="AF45" s="260">
        <f>+AF46+AF49</f>
        <v>0</v>
      </c>
      <c r="AG45" s="260">
        <f>+AG46+AG49</f>
        <v>3.6269956458635702</v>
      </c>
      <c r="AH45" s="260">
        <f>+AH46+AH49</f>
        <v>18.143686502177069</v>
      </c>
      <c r="AI45" s="260">
        <f>+AI46+AI49</f>
        <v>0</v>
      </c>
      <c r="AJ45" s="260">
        <f t="shared" ref="AJ45:AK45" si="15">+AJ46+AJ49</f>
        <v>7.2765647743813684</v>
      </c>
      <c r="AK45" s="260">
        <f t="shared" si="15"/>
        <v>0</v>
      </c>
      <c r="AL45" s="260">
        <f>+AL46+AL49</f>
        <v>0</v>
      </c>
      <c r="AM45" s="260">
        <v>0</v>
      </c>
      <c r="AN45" s="260">
        <v>0</v>
      </c>
      <c r="AO45" s="260">
        <f t="shared" ref="AO45" si="16">+AO46+AO49</f>
        <v>0</v>
      </c>
      <c r="AP45" s="260">
        <v>0</v>
      </c>
      <c r="AQ45" s="437">
        <f t="shared" ref="AQ45" si="17">+AQ46+AQ49</f>
        <v>0</v>
      </c>
      <c r="AR45" s="437">
        <f t="shared" ref="AR45" si="18">+AR46+AR49</f>
        <v>0</v>
      </c>
      <c r="AS45" s="437">
        <f t="shared" ref="AS45:AU45" si="19">+AS46+AS49</f>
        <v>0</v>
      </c>
      <c r="AT45" s="260">
        <f t="shared" si="19"/>
        <v>0.40466472303207002</v>
      </c>
      <c r="AU45" s="437">
        <f t="shared" si="19"/>
        <v>1.2771137026239066E-3</v>
      </c>
      <c r="AV45" s="497">
        <f t="shared" ref="AV45:BK45" si="20">+AV46+AV49</f>
        <v>1.2771137026239066E-3</v>
      </c>
      <c r="AW45" s="260">
        <f t="shared" ref="AW45:AY45" si="21">+AW46+AW49</f>
        <v>0.15</v>
      </c>
      <c r="AX45" s="260">
        <f t="shared" si="21"/>
        <v>0</v>
      </c>
      <c r="AY45" s="260">
        <f t="shared" si="21"/>
        <v>0</v>
      </c>
      <c r="AZ45" s="260">
        <f t="shared" ref="AZ45" si="22">+AZ46+AZ49</f>
        <v>0</v>
      </c>
      <c r="BA45" s="260">
        <f>+BA46+BA49</f>
        <v>0.5</v>
      </c>
      <c r="BB45" s="260">
        <f t="shared" ref="BB45:BF45" si="23">+BB46+BB49</f>
        <v>0.9</v>
      </c>
      <c r="BC45" s="260">
        <f t="shared" si="23"/>
        <v>0.9</v>
      </c>
      <c r="BD45" s="260">
        <f t="shared" si="23"/>
        <v>1.1000000000000001</v>
      </c>
      <c r="BE45" s="260">
        <f t="shared" si="23"/>
        <v>0.35</v>
      </c>
      <c r="BF45" s="260">
        <f t="shared" si="23"/>
        <v>0.2</v>
      </c>
      <c r="BG45" s="589">
        <f>+BG46+BG49</f>
        <v>0.2</v>
      </c>
      <c r="BH45" s="498">
        <f t="shared" si="20"/>
        <v>0.2</v>
      </c>
      <c r="BI45" s="498">
        <f t="shared" si="20"/>
        <v>0.05</v>
      </c>
      <c r="BJ45" s="498">
        <f t="shared" si="20"/>
        <v>0.05</v>
      </c>
      <c r="BK45" s="590">
        <f t="shared" si="20"/>
        <v>0.05</v>
      </c>
      <c r="BL45" s="422" t="s">
        <v>131</v>
      </c>
      <c r="BM45" s="559" t="s">
        <v>3</v>
      </c>
      <c r="BN45" s="539"/>
      <c r="BO45" s="533"/>
      <c r="BP45" s="534"/>
      <c r="BQ45" s="384"/>
    </row>
    <row r="46" spans="1:70" x14ac:dyDescent="0.2">
      <c r="A46" s="3"/>
      <c r="B46" s="651"/>
      <c r="C46" s="18"/>
      <c r="D46" s="23" t="s">
        <v>27</v>
      </c>
      <c r="E46" s="162">
        <f t="shared" ref="E46:Y46" si="24">+E47/E$83+E48</f>
        <v>0</v>
      </c>
      <c r="F46" s="162">
        <f t="shared" si="24"/>
        <v>0</v>
      </c>
      <c r="G46" s="162">
        <f t="shared" si="24"/>
        <v>0.78</v>
      </c>
      <c r="H46" s="162">
        <f t="shared" si="24"/>
        <v>0</v>
      </c>
      <c r="I46" s="162">
        <f t="shared" si="24"/>
        <v>0</v>
      </c>
      <c r="J46" s="162">
        <f t="shared" si="24"/>
        <v>5.7388809182209476E-2</v>
      </c>
      <c r="K46" s="162">
        <f t="shared" si="24"/>
        <v>0</v>
      </c>
      <c r="L46" s="162">
        <f t="shared" si="24"/>
        <v>0</v>
      </c>
      <c r="M46" s="161">
        <f t="shared" si="24"/>
        <v>0.03</v>
      </c>
      <c r="N46" s="162">
        <f t="shared" si="24"/>
        <v>0.02</v>
      </c>
      <c r="O46" s="162">
        <f t="shared" si="24"/>
        <v>0.02</v>
      </c>
      <c r="P46" s="236">
        <f t="shared" si="24"/>
        <v>0</v>
      </c>
      <c r="Q46" s="162">
        <f t="shared" si="24"/>
        <v>0</v>
      </c>
      <c r="R46" s="162">
        <f t="shared" si="24"/>
        <v>0</v>
      </c>
      <c r="S46" s="260">
        <f t="shared" si="24"/>
        <v>0</v>
      </c>
      <c r="T46" s="260">
        <f t="shared" si="24"/>
        <v>0</v>
      </c>
      <c r="U46" s="260">
        <f t="shared" si="24"/>
        <v>0</v>
      </c>
      <c r="V46" s="260">
        <f t="shared" si="24"/>
        <v>0</v>
      </c>
      <c r="W46" s="260">
        <f t="shared" si="24"/>
        <v>0</v>
      </c>
      <c r="X46" s="260">
        <f t="shared" si="24"/>
        <v>0</v>
      </c>
      <c r="Y46" s="260">
        <f t="shared" si="24"/>
        <v>0</v>
      </c>
      <c r="Z46" s="260">
        <f t="shared" ref="Z46:AI46" si="25">+Z47/Z$83+Z48</f>
        <v>0</v>
      </c>
      <c r="AA46" s="260">
        <f t="shared" si="25"/>
        <v>0</v>
      </c>
      <c r="AB46" s="260">
        <f t="shared" si="25"/>
        <v>9.5504655172413792E-3</v>
      </c>
      <c r="AC46" s="260">
        <f t="shared" si="25"/>
        <v>15.950432276657061</v>
      </c>
      <c r="AD46" s="260">
        <f t="shared" si="25"/>
        <v>0</v>
      </c>
      <c r="AE46" s="260">
        <f t="shared" si="25"/>
        <v>0</v>
      </c>
      <c r="AF46" s="260">
        <f t="shared" si="25"/>
        <v>0</v>
      </c>
      <c r="AG46" s="260">
        <f t="shared" si="25"/>
        <v>0</v>
      </c>
      <c r="AH46" s="260">
        <f t="shared" si="25"/>
        <v>4.3541364296081275E-3</v>
      </c>
      <c r="AI46" s="260">
        <f t="shared" si="25"/>
        <v>0</v>
      </c>
      <c r="AJ46" s="260">
        <f t="shared" ref="AJ46:AK46" si="26">+AJ47/AJ$83+AJ48</f>
        <v>7.2765647743813684</v>
      </c>
      <c r="AK46" s="260">
        <f t="shared" si="26"/>
        <v>0</v>
      </c>
      <c r="AL46" s="260">
        <f>+AL47/AL$83+AL48</f>
        <v>0</v>
      </c>
      <c r="AM46" s="260">
        <v>0</v>
      </c>
      <c r="AN46" s="260">
        <v>0</v>
      </c>
      <c r="AO46" s="260">
        <f t="shared" ref="AO46" si="27">+AO47/AO$83+AO48</f>
        <v>0</v>
      </c>
      <c r="AP46" s="260">
        <v>0</v>
      </c>
      <c r="AQ46" s="260">
        <v>0</v>
      </c>
      <c r="AR46" s="260">
        <f t="shared" ref="AR46" si="28">+AR47/AR$83+AR48</f>
        <v>0</v>
      </c>
      <c r="AS46" s="260">
        <f t="shared" ref="AS46:AV46" si="29">+AS47/AS$83+AS48</f>
        <v>0</v>
      </c>
      <c r="AT46" s="260">
        <f t="shared" si="29"/>
        <v>0.40466472303207002</v>
      </c>
      <c r="AU46" s="260">
        <f t="shared" si="29"/>
        <v>1.2771137026239066E-3</v>
      </c>
      <c r="AV46" s="497">
        <f t="shared" si="29"/>
        <v>1.2771137026239066E-3</v>
      </c>
      <c r="AW46" s="260">
        <f>+AW47/AW$83+AW48</f>
        <v>0.15</v>
      </c>
      <c r="AX46" s="260">
        <f t="shared" ref="AX46:AY46" si="30">+AX47/AX$83+AX48</f>
        <v>0</v>
      </c>
      <c r="AY46" s="260">
        <f t="shared" si="30"/>
        <v>0</v>
      </c>
      <c r="AZ46" s="260">
        <f t="shared" ref="AZ46" si="31">+AZ47/AZ$83+AZ48</f>
        <v>0</v>
      </c>
      <c r="BA46" s="260">
        <f t="shared" ref="BA46:BG46" si="32">+BA47/BA$83+BA48</f>
        <v>0.5</v>
      </c>
      <c r="BB46" s="260">
        <f t="shared" si="32"/>
        <v>0.9</v>
      </c>
      <c r="BC46" s="260">
        <f t="shared" si="32"/>
        <v>0.9</v>
      </c>
      <c r="BD46" s="260">
        <f t="shared" si="32"/>
        <v>1.1000000000000001</v>
      </c>
      <c r="BE46" s="260">
        <f t="shared" si="32"/>
        <v>0.35</v>
      </c>
      <c r="BF46" s="260">
        <f>+BF47/BF$83+BF48</f>
        <v>0.2</v>
      </c>
      <c r="BG46" s="589">
        <f t="shared" si="32"/>
        <v>0.2</v>
      </c>
      <c r="BH46" s="498">
        <f t="shared" ref="BH46:BJ46" si="33">+BH47/BH$83+BH48</f>
        <v>0.2</v>
      </c>
      <c r="BI46" s="498">
        <f t="shared" si="33"/>
        <v>0.05</v>
      </c>
      <c r="BJ46" s="498">
        <f t="shared" si="33"/>
        <v>0.05</v>
      </c>
      <c r="BK46" s="590">
        <f>+BK47/BK$83+BK48</f>
        <v>0.05</v>
      </c>
      <c r="BL46" s="422" t="s">
        <v>3</v>
      </c>
      <c r="BM46" s="559" t="s">
        <v>3</v>
      </c>
      <c r="BN46" s="539"/>
      <c r="BO46" s="533"/>
      <c r="BP46" s="534"/>
      <c r="BQ46" s="384"/>
    </row>
    <row r="47" spans="1:70" ht="12.75" hidden="1" customHeight="1" x14ac:dyDescent="0.2">
      <c r="A47" s="3"/>
      <c r="B47" s="65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9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598">
        <v>0</v>
      </c>
      <c r="BH47" s="496">
        <v>0</v>
      </c>
      <c r="BI47" s="496">
        <v>0</v>
      </c>
      <c r="BJ47" s="496">
        <v>0</v>
      </c>
      <c r="BK47" s="618">
        <v>0</v>
      </c>
      <c r="BL47" s="576" t="s">
        <v>3</v>
      </c>
      <c r="BM47" s="559" t="s">
        <v>3</v>
      </c>
      <c r="BN47" s="539"/>
      <c r="BO47" s="533"/>
      <c r="BP47" s="534"/>
      <c r="BQ47" s="384"/>
    </row>
    <row r="48" spans="1:70" ht="12.75" hidden="1" customHeight="1" x14ac:dyDescent="0.2">
      <c r="A48" s="3"/>
      <c r="B48" s="65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9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96">
        <v>0.2</v>
      </c>
      <c r="BH48" s="496">
        <v>0.2</v>
      </c>
      <c r="BI48" s="496">
        <v>0.05</v>
      </c>
      <c r="BJ48" s="496">
        <v>0.05</v>
      </c>
      <c r="BK48" s="496">
        <v>0.05</v>
      </c>
      <c r="BL48" s="577" t="s">
        <v>3</v>
      </c>
      <c r="BM48" s="559" t="s">
        <v>3</v>
      </c>
      <c r="BN48" s="539"/>
      <c r="BO48" s="533"/>
      <c r="BP48" s="534"/>
      <c r="BQ48" s="384"/>
    </row>
    <row r="49" spans="1:70" x14ac:dyDescent="0.2">
      <c r="A49" s="3"/>
      <c r="B49" s="651"/>
      <c r="C49" s="18"/>
      <c r="D49" s="23" t="s">
        <v>45</v>
      </c>
      <c r="E49" s="162">
        <f t="shared" ref="E49:Y49" si="34">+E50/E$83+E51</f>
        <v>3.5868005738880919</v>
      </c>
      <c r="F49" s="162">
        <f t="shared" si="34"/>
        <v>0</v>
      </c>
      <c r="G49" s="162">
        <f t="shared" si="34"/>
        <v>3.5494978479196555</v>
      </c>
      <c r="H49" s="162">
        <f t="shared" si="34"/>
        <v>0</v>
      </c>
      <c r="I49" s="162">
        <f t="shared" si="34"/>
        <v>0</v>
      </c>
      <c r="J49" s="162">
        <f t="shared" si="34"/>
        <v>0</v>
      </c>
      <c r="K49" s="162">
        <f t="shared" si="34"/>
        <v>0</v>
      </c>
      <c r="L49" s="162">
        <f t="shared" si="34"/>
        <v>0</v>
      </c>
      <c r="M49" s="161">
        <f t="shared" si="34"/>
        <v>0</v>
      </c>
      <c r="N49" s="162">
        <f t="shared" si="34"/>
        <v>0</v>
      </c>
      <c r="O49" s="162">
        <f t="shared" si="34"/>
        <v>0</v>
      </c>
      <c r="P49" s="236">
        <f t="shared" si="34"/>
        <v>0</v>
      </c>
      <c r="Q49" s="162">
        <f t="shared" si="34"/>
        <v>0</v>
      </c>
      <c r="R49" s="162">
        <f t="shared" si="34"/>
        <v>0</v>
      </c>
      <c r="S49" s="260">
        <f t="shared" si="34"/>
        <v>0</v>
      </c>
      <c r="T49" s="260">
        <f t="shared" si="34"/>
        <v>0</v>
      </c>
      <c r="U49" s="260">
        <f t="shared" si="34"/>
        <v>0</v>
      </c>
      <c r="V49" s="260">
        <f t="shared" si="34"/>
        <v>0</v>
      </c>
      <c r="W49" s="260">
        <f t="shared" si="34"/>
        <v>0</v>
      </c>
      <c r="X49" s="260">
        <f t="shared" si="34"/>
        <v>0</v>
      </c>
      <c r="Y49" s="260">
        <f t="shared" si="34"/>
        <v>0</v>
      </c>
      <c r="Z49" s="260">
        <f t="shared" ref="Z49:AF49" si="35">+Z50/Z$83+Z51</f>
        <v>0</v>
      </c>
      <c r="AA49" s="260">
        <f t="shared" si="35"/>
        <v>0</v>
      </c>
      <c r="AB49" s="260">
        <f t="shared" si="35"/>
        <v>0</v>
      </c>
      <c r="AC49" s="260">
        <f t="shared" si="35"/>
        <v>0</v>
      </c>
      <c r="AD49" s="260">
        <f t="shared" si="35"/>
        <v>0</v>
      </c>
      <c r="AE49" s="260">
        <f t="shared" si="35"/>
        <v>0</v>
      </c>
      <c r="AF49" s="260">
        <f t="shared" si="35"/>
        <v>0</v>
      </c>
      <c r="AG49" s="260">
        <f>+AG50/AG$83+AG51</f>
        <v>3.6269956458635702</v>
      </c>
      <c r="AH49" s="260">
        <f>+AH50/AH$83+AH51</f>
        <v>18.13933236574746</v>
      </c>
      <c r="AI49" s="260">
        <f>+AI50/AI$83+AI51</f>
        <v>0</v>
      </c>
      <c r="AJ49" s="260">
        <v>0</v>
      </c>
      <c r="AK49" s="260">
        <v>0</v>
      </c>
      <c r="AL49" s="260">
        <f>+AL50/AL$83+AL51</f>
        <v>0</v>
      </c>
      <c r="AM49" s="260">
        <v>0</v>
      </c>
      <c r="AN49" s="260">
        <v>0</v>
      </c>
      <c r="AO49" s="260">
        <f>+AO50/AO$83+AO51</f>
        <v>0</v>
      </c>
      <c r="AP49" s="260">
        <v>0</v>
      </c>
      <c r="AQ49" s="260">
        <v>0</v>
      </c>
      <c r="AR49" s="260">
        <f>+AR50/AR$83+AR51</f>
        <v>0</v>
      </c>
      <c r="AS49" s="260">
        <f>+AS50/AS$83+AS51</f>
        <v>0</v>
      </c>
      <c r="AT49" s="260">
        <v>0</v>
      </c>
      <c r="AU49" s="260">
        <v>0</v>
      </c>
      <c r="AV49" s="497">
        <v>0</v>
      </c>
      <c r="AW49" s="260">
        <v>0</v>
      </c>
      <c r="AX49" s="260">
        <v>0</v>
      </c>
      <c r="AY49" s="260">
        <f t="shared" ref="AY49:AZ49" si="36">+AY50/AY$83+AY51</f>
        <v>0</v>
      </c>
      <c r="AZ49" s="260">
        <f t="shared" si="36"/>
        <v>0</v>
      </c>
      <c r="BA49" s="260">
        <f>+BA50/BA$83+BA51</f>
        <v>0</v>
      </c>
      <c r="BB49" s="260">
        <f t="shared" ref="BB49:BF49" si="37">+BB50/BB$83+BB51</f>
        <v>0</v>
      </c>
      <c r="BC49" s="260">
        <f t="shared" si="37"/>
        <v>0</v>
      </c>
      <c r="BD49" s="260">
        <f t="shared" si="37"/>
        <v>0</v>
      </c>
      <c r="BE49" s="260">
        <f t="shared" si="37"/>
        <v>0</v>
      </c>
      <c r="BF49" s="260">
        <f t="shared" si="37"/>
        <v>0</v>
      </c>
      <c r="BG49" s="589">
        <f>+BG50/BG$83+BG51</f>
        <v>0</v>
      </c>
      <c r="BH49" s="498">
        <f t="shared" ref="BH49:BK49" si="38">+BH50/BH$83+BH51</f>
        <v>0</v>
      </c>
      <c r="BI49" s="498">
        <f t="shared" si="38"/>
        <v>0</v>
      </c>
      <c r="BJ49" s="498">
        <f t="shared" si="38"/>
        <v>0</v>
      </c>
      <c r="BK49" s="590">
        <f t="shared" si="38"/>
        <v>0</v>
      </c>
      <c r="BL49" s="422" t="s">
        <v>3</v>
      </c>
      <c r="BM49" s="559" t="s">
        <v>3</v>
      </c>
      <c r="BN49" s="539"/>
      <c r="BO49" s="533"/>
      <c r="BP49" s="534"/>
      <c r="BQ49" s="384"/>
    </row>
    <row r="50" spans="1:70" ht="12.75" hidden="1" customHeight="1" x14ac:dyDescent="0.2">
      <c r="A50" s="3"/>
      <c r="B50" s="65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7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589">
        <v>0</v>
      </c>
      <c r="BH50" s="498">
        <v>0</v>
      </c>
      <c r="BI50" s="498">
        <v>0</v>
      </c>
      <c r="BJ50" s="498">
        <v>0</v>
      </c>
      <c r="BK50" s="590">
        <v>0</v>
      </c>
      <c r="BL50" s="577" t="s">
        <v>3</v>
      </c>
      <c r="BM50" s="559" t="s">
        <v>3</v>
      </c>
      <c r="BN50" s="539"/>
      <c r="BO50" s="533"/>
      <c r="BP50" s="534"/>
      <c r="BQ50" s="384"/>
    </row>
    <row r="51" spans="1:70" ht="12.75" hidden="1" customHeight="1" x14ac:dyDescent="0.2">
      <c r="A51" s="3"/>
      <c r="B51" s="65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7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589">
        <v>0</v>
      </c>
      <c r="BH51" s="498">
        <v>0</v>
      </c>
      <c r="BI51" s="498">
        <v>0</v>
      </c>
      <c r="BJ51" s="498">
        <v>0</v>
      </c>
      <c r="BK51" s="590">
        <v>0</v>
      </c>
      <c r="BL51" s="577" t="s">
        <v>3</v>
      </c>
      <c r="BM51" s="559" t="s">
        <v>3</v>
      </c>
      <c r="BN51" s="539"/>
      <c r="BO51" s="533"/>
      <c r="BP51" s="534"/>
      <c r="BQ51" s="384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20"/>
      <c r="BH52" s="250"/>
      <c r="BI52" s="250"/>
      <c r="BJ52" s="250"/>
      <c r="BK52" s="549"/>
      <c r="BL52" s="425"/>
      <c r="BM52" s="563"/>
      <c r="BN52" s="539"/>
      <c r="BO52" s="533"/>
      <c r="BP52" s="534"/>
      <c r="BQ52" s="384"/>
    </row>
    <row r="53" spans="1:70" ht="12.75" customHeight="1" x14ac:dyDescent="0.2">
      <c r="A53" s="3"/>
      <c r="B53" s="650" t="s">
        <v>3</v>
      </c>
      <c r="C53" s="19"/>
      <c r="D53" s="23" t="s">
        <v>196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541">
        <v>13543.705865378277</v>
      </c>
      <c r="BH53" s="495">
        <v>13616.828980077982</v>
      </c>
      <c r="BI53" s="495">
        <v>13602.988223150871</v>
      </c>
      <c r="BJ53" s="495">
        <v>13693.877297203348</v>
      </c>
      <c r="BK53" s="495">
        <v>13844.490282083816</v>
      </c>
      <c r="BL53" s="422">
        <f>+BK53-BF53</f>
        <v>395.83539433527767</v>
      </c>
      <c r="BM53" s="559">
        <f>+(BK53/BF53-1)</f>
        <v>2.9433084396854881E-2</v>
      </c>
      <c r="BN53" s="539"/>
      <c r="BO53" s="533"/>
      <c r="BP53" s="534"/>
      <c r="BQ53" s="384"/>
      <c r="BR53" s="394"/>
    </row>
    <row r="54" spans="1:70" ht="12.75" customHeight="1" x14ac:dyDescent="0.2">
      <c r="A54" s="3"/>
      <c r="B54" s="65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541">
        <v>11205.064020706264</v>
      </c>
      <c r="BH54" s="495">
        <v>11279.573510716467</v>
      </c>
      <c r="BI54" s="495">
        <v>11270.605705542999</v>
      </c>
      <c r="BJ54" s="495">
        <v>11362.517462143582</v>
      </c>
      <c r="BK54" s="495">
        <v>11508.078228818509</v>
      </c>
      <c r="BL54" s="422">
        <f>+BK54-BF54</f>
        <v>413.31635418950464</v>
      </c>
      <c r="BM54" s="559">
        <f>+(BK54/BF54-1)</f>
        <v>3.7253287529735779E-2</v>
      </c>
      <c r="BN54" s="539"/>
      <c r="BO54" s="533"/>
      <c r="BP54" s="534"/>
      <c r="BQ54" s="384"/>
      <c r="BR54" s="394"/>
    </row>
    <row r="55" spans="1:70" ht="12.75" customHeight="1" x14ac:dyDescent="0.2">
      <c r="A55" s="3"/>
      <c r="B55" s="65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637">
        <v>0.72350906667950887</v>
      </c>
      <c r="BH55" s="638">
        <v>0.7255196082272638</v>
      </c>
      <c r="BI55" s="638">
        <v>0.72295995386696077</v>
      </c>
      <c r="BJ55" s="638">
        <v>0.72330224758314621</v>
      </c>
      <c r="BK55" s="638">
        <v>0.72522672358776241</v>
      </c>
      <c r="BL55" s="422" t="s">
        <v>3</v>
      </c>
      <c r="BM55" s="564" t="s">
        <v>3</v>
      </c>
      <c r="BN55" s="539"/>
      <c r="BO55" s="533"/>
      <c r="BP55" s="534"/>
      <c r="BQ55" s="384"/>
      <c r="BR55" s="394"/>
    </row>
    <row r="56" spans="1:70" x14ac:dyDescent="0.2">
      <c r="A56" s="3"/>
      <c r="B56" s="650"/>
      <c r="C56" s="18"/>
      <c r="D56" s="23" t="s">
        <v>80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541">
        <v>3067.6516342018472</v>
      </c>
      <c r="BH56" s="495">
        <v>3120.923982987561</v>
      </c>
      <c r="BI56" s="495">
        <v>3114.7599389554912</v>
      </c>
      <c r="BJ56" s="495">
        <v>3134.5337588447042</v>
      </c>
      <c r="BK56" s="495">
        <v>3170.8022262863951</v>
      </c>
      <c r="BL56" s="422">
        <f>+BK56-BF56</f>
        <v>176.84957977551039</v>
      </c>
      <c r="BM56" s="559">
        <f>+(BK56/BF56-1)</f>
        <v>5.9068930158801436E-2</v>
      </c>
      <c r="BN56" s="539"/>
      <c r="BO56" s="533"/>
      <c r="BP56" s="534"/>
      <c r="BQ56" s="384"/>
      <c r="BR56" s="394"/>
    </row>
    <row r="57" spans="1:70" x14ac:dyDescent="0.2">
      <c r="A57" s="3"/>
      <c r="B57" s="65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637">
        <v>0.61902409933022318</v>
      </c>
      <c r="BH57" s="638">
        <v>0.62833027674011876</v>
      </c>
      <c r="BI57" s="638">
        <v>0.62136198749150995</v>
      </c>
      <c r="BJ57" s="638">
        <v>0.61802311316840142</v>
      </c>
      <c r="BK57" s="638">
        <v>0.6198075811235968</v>
      </c>
      <c r="BL57" s="422" t="s">
        <v>3</v>
      </c>
      <c r="BM57" s="559" t="s">
        <v>3</v>
      </c>
      <c r="BN57" s="539"/>
      <c r="BO57" s="533"/>
      <c r="BP57" s="534"/>
      <c r="BQ57" s="384"/>
      <c r="BR57" s="394"/>
    </row>
    <row r="58" spans="1:70" x14ac:dyDescent="0.2">
      <c r="A58" s="3"/>
      <c r="B58" s="650"/>
      <c r="C58" s="18"/>
      <c r="D58" s="23" t="s">
        <v>81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541">
        <v>3657.7816044782362</v>
      </c>
      <c r="BH58" s="495">
        <v>3683.4401579884398</v>
      </c>
      <c r="BI58" s="495">
        <v>3682.1777145292567</v>
      </c>
      <c r="BJ58" s="495">
        <v>3742.8653029403349</v>
      </c>
      <c r="BK58" s="495">
        <v>3859.9430860569532</v>
      </c>
      <c r="BL58" s="422">
        <f>+BK58-BF58</f>
        <v>236.4610549169106</v>
      </c>
      <c r="BM58" s="559">
        <f>+(BK58/BF58-1)</f>
        <v>6.5257962612971454E-2</v>
      </c>
      <c r="BN58" s="539"/>
      <c r="BO58" s="533"/>
      <c r="BP58" s="534"/>
      <c r="BQ58" s="384"/>
      <c r="BR58" s="394"/>
    </row>
    <row r="59" spans="1:70" x14ac:dyDescent="0.2">
      <c r="A59" s="3"/>
      <c r="B59" s="65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637">
        <v>0.66913967882739278</v>
      </c>
      <c r="BH59" s="638">
        <v>0.66931283459972279</v>
      </c>
      <c r="BI59" s="638">
        <v>0.66599819346226463</v>
      </c>
      <c r="BJ59" s="638">
        <v>0.67278867375496476</v>
      </c>
      <c r="BK59" s="638">
        <v>0.6769662855855817</v>
      </c>
      <c r="BL59" s="422" t="s">
        <v>3</v>
      </c>
      <c r="BM59" s="559" t="s">
        <v>3</v>
      </c>
      <c r="BN59" s="539"/>
      <c r="BO59" s="533"/>
      <c r="BP59" s="534"/>
      <c r="BQ59" s="384"/>
      <c r="BR59" s="394"/>
    </row>
    <row r="60" spans="1:70" x14ac:dyDescent="0.2">
      <c r="A60" s="3"/>
      <c r="B60" s="650"/>
      <c r="C60" s="18"/>
      <c r="D60" s="23" t="s">
        <v>82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541">
        <v>4140.9775852652738</v>
      </c>
      <c r="BH60" s="495">
        <v>4137.3885358162952</v>
      </c>
      <c r="BI60" s="495">
        <v>4135.9190375713961</v>
      </c>
      <c r="BJ60" s="495">
        <v>4142.4498527375763</v>
      </c>
      <c r="BK60" s="495">
        <v>4142.1277538483646</v>
      </c>
      <c r="BL60" s="422">
        <f>+BK60-BF60</f>
        <v>1.9696330772603687</v>
      </c>
      <c r="BM60" s="559">
        <f>+(BK60/BF60-1)</f>
        <v>4.7573861186100963E-4</v>
      </c>
      <c r="BN60" s="539"/>
      <c r="BO60" s="533"/>
      <c r="BP60" s="534"/>
      <c r="BQ60" s="384"/>
      <c r="BR60" s="394"/>
    </row>
    <row r="61" spans="1:70" x14ac:dyDescent="0.2">
      <c r="A61" s="3"/>
      <c r="B61" s="65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637">
        <v>0.83877061944691422</v>
      </c>
      <c r="BH61" s="638">
        <v>0.83949165020422956</v>
      </c>
      <c r="BI61" s="638">
        <v>0.83985214940832109</v>
      </c>
      <c r="BJ61" s="638">
        <v>0.84010874872942565</v>
      </c>
      <c r="BK61" s="638">
        <v>0.8402461204273215</v>
      </c>
      <c r="BL61" s="422" t="s">
        <v>3</v>
      </c>
      <c r="BM61" s="559" t="s">
        <v>3</v>
      </c>
      <c r="BN61" s="539"/>
      <c r="BO61" s="533"/>
      <c r="BP61" s="534"/>
      <c r="BQ61" s="384"/>
      <c r="BR61" s="394"/>
    </row>
    <row r="62" spans="1:70" x14ac:dyDescent="0.2">
      <c r="A62" s="3"/>
      <c r="B62" s="65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639">
        <v>338.65319676090735</v>
      </c>
      <c r="BH62" s="640">
        <v>337.82083392417263</v>
      </c>
      <c r="BI62" s="640">
        <v>337.74901448685483</v>
      </c>
      <c r="BJ62" s="640">
        <v>342.66854762096551</v>
      </c>
      <c r="BK62" s="640">
        <v>335.20516262679649</v>
      </c>
      <c r="BL62" s="422">
        <f>+BK62-BF62</f>
        <v>-1.9639135801748466</v>
      </c>
      <c r="BM62" s="559">
        <f>+(BK62/BF62-1)</f>
        <v>-5.8247144200416212E-3</v>
      </c>
      <c r="BN62" s="539"/>
      <c r="BO62" s="533"/>
      <c r="BP62" s="534"/>
      <c r="BQ62" s="384"/>
      <c r="BR62" s="394"/>
    </row>
    <row r="63" spans="1:70" x14ac:dyDescent="0.2">
      <c r="A63" s="3"/>
      <c r="B63" s="65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637">
        <v>0.72972908559576533</v>
      </c>
      <c r="BH63" s="638">
        <v>0.72546725440805893</v>
      </c>
      <c r="BI63" s="638">
        <v>0.72671754346799611</v>
      </c>
      <c r="BJ63" s="638">
        <v>0.70868958224784961</v>
      </c>
      <c r="BK63" s="638">
        <v>0.72435172518505164</v>
      </c>
      <c r="BL63" s="422" t="s">
        <v>3</v>
      </c>
      <c r="BM63" s="559" t="s">
        <v>3</v>
      </c>
      <c r="BN63" s="539"/>
      <c r="BO63" s="533"/>
      <c r="BP63" s="534"/>
      <c r="BQ63" s="384"/>
      <c r="BR63" s="394"/>
    </row>
    <row r="64" spans="1:70" ht="12.75" customHeight="1" x14ac:dyDescent="0.2">
      <c r="A64" s="3"/>
      <c r="B64" s="650"/>
      <c r="C64" s="18"/>
      <c r="D64" s="23" t="s">
        <v>78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541">
        <v>2338.6418446720118</v>
      </c>
      <c r="BH64" s="495">
        <v>2337.2554693615157</v>
      </c>
      <c r="BI64" s="495">
        <v>2332.3825176078717</v>
      </c>
      <c r="BJ64" s="495">
        <v>2331.3598350597667</v>
      </c>
      <c r="BK64" s="495">
        <v>2336.4120532653064</v>
      </c>
      <c r="BL64" s="422">
        <f>+BK64-BF64</f>
        <v>-17.480959854226967</v>
      </c>
      <c r="BM64" s="559">
        <f>+(BK64/BF64-1)</f>
        <v>-7.4264037306691622E-3</v>
      </c>
      <c r="BN64" s="539"/>
      <c r="BO64" s="533"/>
      <c r="BP64" s="534"/>
      <c r="BQ64" s="384"/>
      <c r="BR64" s="394"/>
    </row>
    <row r="65" spans="1:70" ht="12.75" customHeight="1" x14ac:dyDescent="0.2">
      <c r="A65" s="3"/>
      <c r="B65" s="65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637">
        <v>0.73827655570014039</v>
      </c>
      <c r="BH65" s="638">
        <v>0.73872290792617967</v>
      </c>
      <c r="BI65" s="638">
        <v>0.73999429171945563</v>
      </c>
      <c r="BJ65" s="638">
        <v>0.73968908419272139</v>
      </c>
      <c r="BK65" s="638">
        <v>0.73893363061340955</v>
      </c>
      <c r="BL65" s="422" t="s">
        <v>3</v>
      </c>
      <c r="BM65" s="559" t="s">
        <v>3</v>
      </c>
      <c r="BN65" s="539"/>
      <c r="BO65" s="533"/>
      <c r="BP65" s="534"/>
      <c r="BQ65" s="384"/>
      <c r="BR65" s="394"/>
    </row>
    <row r="66" spans="1:70" ht="3" customHeight="1" x14ac:dyDescent="0.2">
      <c r="A66" s="3"/>
      <c r="B66" s="65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22"/>
      <c r="BH66" s="380"/>
      <c r="BI66" s="380"/>
      <c r="BJ66" s="380"/>
      <c r="BK66" s="550"/>
      <c r="BL66" s="422"/>
      <c r="BM66" s="564"/>
      <c r="BN66" s="539"/>
      <c r="BO66" s="533"/>
      <c r="BP66" s="534"/>
      <c r="BQ66" s="384"/>
      <c r="BR66" s="394"/>
    </row>
    <row r="67" spans="1:70" ht="12.75" customHeight="1" x14ac:dyDescent="0.2">
      <c r="A67" s="3"/>
      <c r="B67" s="650"/>
      <c r="C67" s="18"/>
      <c r="D67" s="23" t="s">
        <v>197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541">
        <v>2061.579571106095</v>
      </c>
      <c r="BH67" s="495">
        <v>2078.2898419864564</v>
      </c>
      <c r="BI67" s="495">
        <v>2070.6839729119638</v>
      </c>
      <c r="BJ67" s="495">
        <v>2104.3633182844246</v>
      </c>
      <c r="BK67" s="495">
        <v>2196.0041760722347</v>
      </c>
      <c r="BL67" s="422">
        <f t="shared" ref="BL67:BL74" si="39">+BK67-BF67</f>
        <v>229.61659142212147</v>
      </c>
      <c r="BM67" s="559">
        <f t="shared" ref="BM67:BM74" si="40">+(BK67/BF67-1)</f>
        <v>0.11677076951387377</v>
      </c>
      <c r="BN67" s="539"/>
      <c r="BO67" s="533"/>
      <c r="BP67" s="534"/>
      <c r="BQ67" s="384"/>
      <c r="BR67" s="394"/>
    </row>
    <row r="68" spans="1:70" x14ac:dyDescent="0.2">
      <c r="A68" s="3"/>
      <c r="B68" s="650"/>
      <c r="C68" s="18"/>
      <c r="D68" s="23" t="s">
        <v>53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541">
        <v>560.37257336343112</v>
      </c>
      <c r="BH68" s="495">
        <v>576.10632054176074</v>
      </c>
      <c r="BI68" s="495">
        <v>570.02697516930027</v>
      </c>
      <c r="BJ68" s="495">
        <v>601.58081264108353</v>
      </c>
      <c r="BK68" s="495">
        <v>694.11681715575628</v>
      </c>
      <c r="BL68" s="422">
        <f t="shared" si="39"/>
        <v>228.04187358916482</v>
      </c>
      <c r="BM68" s="559">
        <f t="shared" si="40"/>
        <v>0.48928155597487688</v>
      </c>
      <c r="BN68" s="539"/>
      <c r="BO68" s="533"/>
      <c r="BP68" s="534"/>
      <c r="BQ68" s="384"/>
      <c r="BR68" s="394"/>
    </row>
    <row r="69" spans="1:70" x14ac:dyDescent="0.2">
      <c r="A69" s="3"/>
      <c r="B69" s="650"/>
      <c r="C69" s="18"/>
      <c r="D69" s="23" t="s">
        <v>54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541">
        <v>283.75011286681718</v>
      </c>
      <c r="BH69" s="495">
        <v>285.6620767494357</v>
      </c>
      <c r="BI69" s="495">
        <v>285.66873589164783</v>
      </c>
      <c r="BJ69" s="495">
        <v>285.67539503386007</v>
      </c>
      <c r="BK69" s="495">
        <v>285.68250564334085</v>
      </c>
      <c r="BL69" s="422">
        <f t="shared" si="39"/>
        <v>1.9532731376974652</v>
      </c>
      <c r="BM69" s="559">
        <f t="shared" si="40"/>
        <v>6.8842858398758811E-3</v>
      </c>
      <c r="BN69" s="539"/>
      <c r="BO69" s="533"/>
      <c r="BP69" s="534"/>
      <c r="BQ69" s="384"/>
      <c r="BR69" s="394"/>
    </row>
    <row r="70" spans="1:70" x14ac:dyDescent="0.2">
      <c r="A70" s="3"/>
      <c r="B70" s="650"/>
      <c r="C70" s="18"/>
      <c r="D70" s="23" t="s">
        <v>55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541">
        <v>551.03498871331828</v>
      </c>
      <c r="BH70" s="495">
        <v>569.9548532731377</v>
      </c>
      <c r="BI70" s="495">
        <v>568.41489841986458</v>
      </c>
      <c r="BJ70" s="495">
        <v>570.53476297968416</v>
      </c>
      <c r="BK70" s="495">
        <v>569.63194130925513</v>
      </c>
      <c r="BL70" s="422">
        <f t="shared" si="39"/>
        <v>19.494243792325165</v>
      </c>
      <c r="BM70" s="559">
        <f t="shared" si="40"/>
        <v>3.5435208094833914E-2</v>
      </c>
      <c r="BN70" s="539"/>
      <c r="BO70" s="533"/>
      <c r="BP70" s="534"/>
      <c r="BQ70" s="384"/>
      <c r="BR70" s="394"/>
    </row>
    <row r="71" spans="1:70" x14ac:dyDescent="0.2">
      <c r="A71" s="3"/>
      <c r="B71" s="650"/>
      <c r="C71" s="18"/>
      <c r="D71" s="23" t="s">
        <v>56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541">
        <v>666.42189616252836</v>
      </c>
      <c r="BH71" s="495">
        <v>646.56659142212209</v>
      </c>
      <c r="BI71" s="495">
        <v>646.57336343115117</v>
      </c>
      <c r="BJ71" s="495">
        <v>646.57234762979681</v>
      </c>
      <c r="BK71" s="495">
        <v>646.57291196388258</v>
      </c>
      <c r="BL71" s="422">
        <f t="shared" si="39"/>
        <v>-19.872799097065581</v>
      </c>
      <c r="BM71" s="559">
        <f t="shared" si="40"/>
        <v>-2.9819081685482085E-2</v>
      </c>
      <c r="BN71" s="539"/>
      <c r="BO71" s="533"/>
      <c r="BP71" s="534"/>
      <c r="BQ71" s="384"/>
      <c r="BR71" s="394"/>
    </row>
    <row r="72" spans="1:70" x14ac:dyDescent="0.2">
      <c r="A72" s="3"/>
      <c r="B72" s="650"/>
      <c r="C72" s="18"/>
      <c r="D72" s="23" t="s">
        <v>70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541">
        <v>542.72979683972915</v>
      </c>
      <c r="BH72" s="495">
        <v>580.06647855530468</v>
      </c>
      <c r="BI72" s="495">
        <v>577.32381489841998</v>
      </c>
      <c r="BJ72" s="495">
        <v>609.98702031602716</v>
      </c>
      <c r="BK72" s="495">
        <v>705.51557562076755</v>
      </c>
      <c r="BL72" s="422">
        <f t="shared" si="39"/>
        <v>273.19582392776522</v>
      </c>
      <c r="BM72" s="559">
        <f t="shared" si="40"/>
        <v>0.63193000749539263</v>
      </c>
      <c r="BN72" s="539"/>
      <c r="BO72" s="533"/>
      <c r="BP72" s="534"/>
      <c r="BQ72" s="384"/>
      <c r="BR72" s="394"/>
    </row>
    <row r="73" spans="1:70" x14ac:dyDescent="0.2">
      <c r="A73" s="3"/>
      <c r="B73" s="650"/>
      <c r="C73" s="18"/>
      <c r="D73" s="23" t="s">
        <v>71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541">
        <v>371.54537246049665</v>
      </c>
      <c r="BH73" s="495">
        <v>387.09356659142207</v>
      </c>
      <c r="BI73" s="495">
        <v>380.97313769751702</v>
      </c>
      <c r="BJ73" s="495">
        <v>416.40722347629793</v>
      </c>
      <c r="BK73" s="495">
        <v>514.15428893905198</v>
      </c>
      <c r="BL73" s="422">
        <f t="shared" si="39"/>
        <v>250.43137697516931</v>
      </c>
      <c r="BM73" s="559">
        <f t="shared" si="40"/>
        <v>0.94960037832991295</v>
      </c>
      <c r="BN73" s="539"/>
      <c r="BO73" s="533"/>
      <c r="BP73" s="534"/>
      <c r="BQ73" s="384"/>
      <c r="BR73" s="394"/>
    </row>
    <row r="74" spans="1:70" x14ac:dyDescent="0.2">
      <c r="A74" s="3"/>
      <c r="B74" s="650"/>
      <c r="C74" s="18"/>
      <c r="D74" s="23" t="s">
        <v>72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541">
        <v>171.18442437923252</v>
      </c>
      <c r="BH74" s="495">
        <v>192.97291196388267</v>
      </c>
      <c r="BI74" s="495">
        <v>196.35067720090294</v>
      </c>
      <c r="BJ74" s="495">
        <v>193.5797968397292</v>
      </c>
      <c r="BK74" s="495">
        <v>191.36128668171563</v>
      </c>
      <c r="BL74" s="422">
        <f t="shared" si="39"/>
        <v>22.764446952595961</v>
      </c>
      <c r="BM74" s="559">
        <f t="shared" si="40"/>
        <v>0.13502297545535868</v>
      </c>
      <c r="BN74" s="539"/>
      <c r="BO74" s="533"/>
      <c r="BP74" s="534"/>
      <c r="BQ74" s="384"/>
      <c r="BR74" s="394"/>
    </row>
    <row r="75" spans="1:70" ht="12.75" hidden="1" customHeight="1" x14ac:dyDescent="0.2">
      <c r="A75" s="3"/>
      <c r="B75" s="650"/>
      <c r="C75" s="18"/>
      <c r="D75" s="23" t="s">
        <v>95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1">
        <v>0</v>
      </c>
      <c r="N75" s="483">
        <v>0</v>
      </c>
      <c r="O75" s="483">
        <v>0</v>
      </c>
      <c r="P75" s="55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551">
        <v>0</v>
      </c>
      <c r="BH75" s="602">
        <v>0</v>
      </c>
      <c r="BI75" s="602">
        <v>0</v>
      </c>
      <c r="BJ75" s="602">
        <v>0</v>
      </c>
      <c r="BK75" s="602">
        <v>0</v>
      </c>
      <c r="BL75" s="422"/>
      <c r="BM75" s="559"/>
      <c r="BN75" s="539"/>
      <c r="BO75" s="533"/>
      <c r="BP75" s="534"/>
      <c r="BQ75" s="384"/>
      <c r="BR75" s="394"/>
    </row>
    <row r="76" spans="1:70" ht="13.5" x14ac:dyDescent="0.2">
      <c r="A76" s="3"/>
      <c r="B76" s="650"/>
      <c r="C76" s="20"/>
      <c r="D76" s="23" t="s">
        <v>198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541">
        <v>11274.433419431536</v>
      </c>
      <c r="BH76" s="495">
        <v>11263.629333629786</v>
      </c>
      <c r="BI76" s="495">
        <v>11255.767029039405</v>
      </c>
      <c r="BJ76" s="495">
        <v>11259.397330097716</v>
      </c>
      <c r="BK76" s="495">
        <v>11265.847295449026</v>
      </c>
      <c r="BL76" s="422">
        <f>+BK76-BF76</f>
        <v>-31.127459616620399</v>
      </c>
      <c r="BM76" s="559">
        <f>+(BK76/BF76-1)</f>
        <v>-2.7553801164920122E-3</v>
      </c>
      <c r="BN76" s="539"/>
      <c r="BO76" s="533"/>
      <c r="BP76" s="534"/>
      <c r="BQ76" s="384"/>
      <c r="BR76" s="394"/>
    </row>
    <row r="77" spans="1:70" x14ac:dyDescent="0.2">
      <c r="A77" s="3"/>
      <c r="B77" s="65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613">
        <v>0.81658201741856296</v>
      </c>
      <c r="BH77" s="628">
        <v>0.81656146409166108</v>
      </c>
      <c r="BI77" s="628">
        <v>0.81669138905067373</v>
      </c>
      <c r="BJ77" s="628">
        <v>0.8168966232689272</v>
      </c>
      <c r="BK77" s="628">
        <v>0.81718708359760062</v>
      </c>
      <c r="BL77" s="422" t="s">
        <v>3</v>
      </c>
      <c r="BM77" s="559" t="s">
        <v>3</v>
      </c>
      <c r="BN77" s="539"/>
      <c r="BO77" s="533"/>
      <c r="BP77" s="534"/>
      <c r="BQ77" s="384"/>
      <c r="BR77" s="394"/>
    </row>
    <row r="78" spans="1:70" x14ac:dyDescent="0.2">
      <c r="A78" s="3"/>
      <c r="B78" s="65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613">
        <v>0.83603174685707804</v>
      </c>
      <c r="BH78" s="628">
        <v>0.83602980429957041</v>
      </c>
      <c r="BI78" s="628">
        <v>0.83617676775405825</v>
      </c>
      <c r="BJ78" s="628">
        <v>0.83638048578684554</v>
      </c>
      <c r="BK78" s="628">
        <v>0.83666647865645183</v>
      </c>
      <c r="BL78" s="422"/>
      <c r="BM78" s="559"/>
      <c r="BN78" s="539"/>
      <c r="BO78" s="533"/>
      <c r="BP78" s="534"/>
      <c r="BQ78" s="384"/>
      <c r="BR78" s="394"/>
    </row>
    <row r="79" spans="1:70" x14ac:dyDescent="0.2">
      <c r="A79" s="3"/>
      <c r="B79" s="650"/>
      <c r="C79" s="20"/>
      <c r="D79" s="23" t="s">
        <v>124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541">
        <v>8964.3492627668129</v>
      </c>
      <c r="BH79" s="495">
        <v>8955.4646482376575</v>
      </c>
      <c r="BI79" s="495">
        <v>8950.1113440831359</v>
      </c>
      <c r="BJ79" s="495">
        <v>8955.4203915656472</v>
      </c>
      <c r="BK79" s="495">
        <v>8960.9282110831373</v>
      </c>
      <c r="BL79" s="422">
        <f>+BK79-BF79</f>
        <v>-18.868437514580364</v>
      </c>
      <c r="BM79" s="559">
        <f>+(BK79/BF79-1)</f>
        <v>-2.1012098884808372E-3</v>
      </c>
      <c r="BN79" s="539"/>
      <c r="BO79" s="533"/>
      <c r="BP79" s="534"/>
      <c r="BQ79" s="384"/>
      <c r="BR79" s="394"/>
    </row>
    <row r="80" spans="1:70" x14ac:dyDescent="0.2">
      <c r="A80" s="3"/>
      <c r="B80" s="65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541">
        <v>2310.0841566647227</v>
      </c>
      <c r="BH80" s="495">
        <v>2308.1646853921279</v>
      </c>
      <c r="BI80" s="495">
        <v>2305.6556849562685</v>
      </c>
      <c r="BJ80" s="495">
        <v>2303.9769385320697</v>
      </c>
      <c r="BK80" s="495">
        <v>2304.9190843658885</v>
      </c>
      <c r="BL80" s="422">
        <f>+BK80-BF80</f>
        <v>-12.25902210204049</v>
      </c>
      <c r="BM80" s="559">
        <f>+(BK80/BF80-1)</f>
        <v>-5.2904962582815962E-3</v>
      </c>
      <c r="BN80" s="539"/>
      <c r="BO80" s="533"/>
      <c r="BP80" s="534"/>
      <c r="BQ80" s="384"/>
      <c r="BR80" s="394"/>
    </row>
    <row r="81" spans="1:70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525">
        <v>8.06</v>
      </c>
      <c r="BH81" s="471">
        <v>8.06</v>
      </c>
      <c r="BI81" s="471"/>
      <c r="BJ81" s="471"/>
      <c r="BK81" s="552"/>
      <c r="BL81" s="424"/>
      <c r="BM81" s="565"/>
      <c r="BN81" s="539"/>
      <c r="BO81" s="533"/>
      <c r="BP81" s="534"/>
      <c r="BQ81" s="384"/>
      <c r="BR81" s="394"/>
    </row>
    <row r="82" spans="1:70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f t="shared" ref="J82:O82" si="41">+J83+0.1</f>
        <v>7.0699999999999994</v>
      </c>
      <c r="K82" s="189">
        <f t="shared" si="41"/>
        <v>7.0699999999999994</v>
      </c>
      <c r="L82" s="172">
        <f t="shared" si="41"/>
        <v>7.0699999999999994</v>
      </c>
      <c r="M82" s="173">
        <f t="shared" si="41"/>
        <v>7.0699999999999994</v>
      </c>
      <c r="N82" s="189">
        <f t="shared" si="41"/>
        <v>7.0699999999999994</v>
      </c>
      <c r="O82" s="189">
        <f t="shared" si="41"/>
        <v>7.0699999999999994</v>
      </c>
      <c r="P82" s="234">
        <v>7.07</v>
      </c>
      <c r="Q82" s="189">
        <f t="shared" ref="Q82:Y82" si="42">+Q83+0.1</f>
        <v>7.0699999999999994</v>
      </c>
      <c r="R82" s="189">
        <f t="shared" si="42"/>
        <v>7.0699999999999994</v>
      </c>
      <c r="S82" s="264">
        <f t="shared" si="42"/>
        <v>7.0699999999999994</v>
      </c>
      <c r="T82" s="264">
        <f t="shared" si="42"/>
        <v>7.0699999999999994</v>
      </c>
      <c r="U82" s="264">
        <f t="shared" si="42"/>
        <v>7.0699999999999994</v>
      </c>
      <c r="V82" s="264">
        <f t="shared" si="42"/>
        <v>7.0699999999999994</v>
      </c>
      <c r="W82" s="264">
        <f t="shared" si="42"/>
        <v>7.0699999999999994</v>
      </c>
      <c r="X82" s="264">
        <f t="shared" si="42"/>
        <v>7.0699999999999994</v>
      </c>
      <c r="Y82" s="264">
        <f t="shared" si="42"/>
        <v>7.0699999999999994</v>
      </c>
      <c r="Z82" s="264">
        <f t="shared" ref="Z82:AH82" si="43">+Z83+0.1</f>
        <v>7.0699999999999994</v>
      </c>
      <c r="AA82" s="264">
        <f t="shared" si="43"/>
        <v>7.0699999999999994</v>
      </c>
      <c r="AB82" s="264">
        <f t="shared" si="43"/>
        <v>7.06</v>
      </c>
      <c r="AC82" s="264">
        <f t="shared" si="43"/>
        <v>7.04</v>
      </c>
      <c r="AD82" s="264">
        <f t="shared" si="43"/>
        <v>7.04</v>
      </c>
      <c r="AE82" s="264">
        <f t="shared" si="43"/>
        <v>7.02</v>
      </c>
      <c r="AF82" s="264">
        <f t="shared" si="43"/>
        <v>7</v>
      </c>
      <c r="AG82" s="264">
        <f t="shared" si="43"/>
        <v>6.9899999999999993</v>
      </c>
      <c r="AH82" s="264">
        <f t="shared" si="43"/>
        <v>6.9899999999999993</v>
      </c>
      <c r="AI82" s="264">
        <f t="shared" ref="AI82:BJ82" si="44">+AI83+0.1</f>
        <v>6.9799999999999995</v>
      </c>
      <c r="AJ82" s="264">
        <f t="shared" si="44"/>
        <v>6.97</v>
      </c>
      <c r="AK82" s="264">
        <v>6.97</v>
      </c>
      <c r="AL82" s="264">
        <f t="shared" si="44"/>
        <v>6.97</v>
      </c>
      <c r="AM82" s="264">
        <f t="shared" si="44"/>
        <v>6.97</v>
      </c>
      <c r="AN82" s="264">
        <f t="shared" si="44"/>
        <v>6.96</v>
      </c>
      <c r="AO82" s="264">
        <f t="shared" si="44"/>
        <v>6.96</v>
      </c>
      <c r="AP82" s="264">
        <f t="shared" si="44"/>
        <v>6.96</v>
      </c>
      <c r="AQ82" s="264">
        <f t="shared" si="44"/>
        <v>6.96</v>
      </c>
      <c r="AR82" s="264">
        <f t="shared" si="44"/>
        <v>6.96</v>
      </c>
      <c r="AS82" s="264">
        <f t="shared" si="44"/>
        <v>6.96</v>
      </c>
      <c r="AT82" s="264">
        <f t="shared" si="44"/>
        <v>6.96</v>
      </c>
      <c r="AU82" s="485">
        <f>+AU83+0.1</f>
        <v>6.96</v>
      </c>
      <c r="AV82" s="526">
        <f t="shared" si="44"/>
        <v>6.96</v>
      </c>
      <c r="AW82" s="264">
        <f t="shared" ref="AW82:AX82" si="45">+AW83+0.1</f>
        <v>6.96</v>
      </c>
      <c r="AX82" s="264">
        <f t="shared" si="45"/>
        <v>6.96</v>
      </c>
      <c r="AY82" s="264">
        <f t="shared" si="44"/>
        <v>6.96</v>
      </c>
      <c r="AZ82" s="264">
        <f t="shared" si="44"/>
        <v>6.96</v>
      </c>
      <c r="BA82" s="264">
        <f t="shared" si="44"/>
        <v>6.96</v>
      </c>
      <c r="BB82" s="264">
        <f t="shared" si="44"/>
        <v>6.96</v>
      </c>
      <c r="BC82" s="264">
        <f t="shared" si="44"/>
        <v>6.96</v>
      </c>
      <c r="BD82" s="264">
        <f t="shared" si="44"/>
        <v>6.96</v>
      </c>
      <c r="BE82" s="264">
        <f t="shared" si="44"/>
        <v>6.96</v>
      </c>
      <c r="BF82" s="264">
        <f>+BF83+0.1</f>
        <v>6.96</v>
      </c>
      <c r="BG82" s="609">
        <f t="shared" si="44"/>
        <v>6.96</v>
      </c>
      <c r="BH82" s="593">
        <f t="shared" si="44"/>
        <v>6.96</v>
      </c>
      <c r="BI82" s="593">
        <f t="shared" si="44"/>
        <v>6.96</v>
      </c>
      <c r="BJ82" s="593">
        <f t="shared" si="44"/>
        <v>6.96</v>
      </c>
      <c r="BK82" s="619">
        <f>+BK83+0.1</f>
        <v>6.96</v>
      </c>
      <c r="BL82" s="422">
        <f>+BK82-BF82</f>
        <v>0</v>
      </c>
      <c r="BM82" s="559">
        <f>+(BK82/BF82-1)</f>
        <v>0</v>
      </c>
      <c r="BN82" s="539"/>
      <c r="BO82" s="533"/>
      <c r="BP82" s="534"/>
      <c r="BQ82" s="384"/>
      <c r="BR82" s="394"/>
    </row>
    <row r="83" spans="1:70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609">
        <v>6.86</v>
      </c>
      <c r="BH83" s="593">
        <v>6.86</v>
      </c>
      <c r="BI83" s="593">
        <v>6.86</v>
      </c>
      <c r="BJ83" s="593">
        <v>6.86</v>
      </c>
      <c r="BK83" s="619">
        <v>6.86</v>
      </c>
      <c r="BL83" s="422">
        <f>+BK83-BF83</f>
        <v>0</v>
      </c>
      <c r="BM83" s="559">
        <f>+(BK83/BF83-1)</f>
        <v>0</v>
      </c>
      <c r="BN83" s="539"/>
      <c r="BO83" s="533"/>
      <c r="BP83" s="534"/>
      <c r="BQ83" s="384"/>
      <c r="BR83" s="394"/>
    </row>
    <row r="84" spans="1:70" ht="13.5" customHeight="1" thickBot="1" x14ac:dyDescent="0.25">
      <c r="A84" s="3"/>
      <c r="B84" s="11"/>
      <c r="C84" s="20"/>
      <c r="D84" s="122" t="s">
        <v>199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614">
        <v>6.9380892850277576</v>
      </c>
      <c r="BH84" s="594">
        <v>6.9302428868871964</v>
      </c>
      <c r="BI84" s="594">
        <v>6.9424353726760515</v>
      </c>
      <c r="BJ84" s="594">
        <v>6.9326433584405578</v>
      </c>
      <c r="BK84" s="620">
        <v>6.9325689786548281</v>
      </c>
      <c r="BL84" s="422">
        <f>+BK84-BF84</f>
        <v>-8.1569018120726255E-3</v>
      </c>
      <c r="BM84" s="559">
        <f>+(BK84/BF84-1)</f>
        <v>-1.1752231614604591E-3</v>
      </c>
      <c r="BN84" s="539"/>
      <c r="BO84" s="533"/>
      <c r="BP84" s="534"/>
      <c r="BQ84" s="384"/>
      <c r="BR84" s="394"/>
    </row>
    <row r="85" spans="1:70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553"/>
      <c r="BH85" s="475"/>
      <c r="BI85" s="475"/>
      <c r="BJ85" s="475"/>
      <c r="BK85" s="554"/>
      <c r="BL85" s="422"/>
      <c r="BM85" s="564"/>
      <c r="BN85" s="539"/>
      <c r="BO85" s="533"/>
      <c r="BP85" s="534"/>
      <c r="BQ85" s="384"/>
      <c r="BR85" s="394"/>
    </row>
    <row r="86" spans="1:70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f>+[62]MACRO!$I$1</f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621">
        <v>1.83761</v>
      </c>
      <c r="BH86" s="595">
        <v>1.83786</v>
      </c>
      <c r="BI86" s="595">
        <v>1.8381099999999999</v>
      </c>
      <c r="BJ86" s="595">
        <v>1.83836</v>
      </c>
      <c r="BK86" s="622">
        <v>1.8386100000000001</v>
      </c>
      <c r="BL86" s="422">
        <f>+BK86-BF86</f>
        <v>1.7500000000001403E-3</v>
      </c>
      <c r="BM86" s="559">
        <f>+(BK86/BF86-1)</f>
        <v>9.5271278159470008E-4</v>
      </c>
      <c r="BN86" s="539"/>
      <c r="BO86" s="533"/>
      <c r="BP86" s="534"/>
      <c r="BQ86" s="384"/>
      <c r="BR86" s="394"/>
    </row>
    <row r="87" spans="1:70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553"/>
      <c r="BH87" s="475"/>
      <c r="BI87" s="475"/>
      <c r="BJ87" s="475"/>
      <c r="BK87" s="554"/>
      <c r="BL87" s="422"/>
      <c r="BM87" s="559"/>
      <c r="BN87" s="539"/>
      <c r="BO87" s="533"/>
      <c r="BP87" s="534"/>
      <c r="BQ87" s="384"/>
      <c r="BR87" s="394"/>
    </row>
    <row r="88" spans="1:70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15"/>
      <c r="BH88" s="249"/>
      <c r="BI88" s="249"/>
      <c r="BJ88" s="249"/>
      <c r="BK88" s="548"/>
      <c r="BL88" s="425"/>
      <c r="BM88" s="563"/>
      <c r="BN88" s="539"/>
      <c r="BO88" s="533"/>
      <c r="BP88" s="534"/>
      <c r="BQ88" s="384"/>
      <c r="BR88" s="394"/>
    </row>
    <row r="89" spans="1:70" s="310" customFormat="1" x14ac:dyDescent="0.2">
      <c r="A89" s="308"/>
      <c r="B89" s="649" t="s">
        <v>3</v>
      </c>
      <c r="C89" s="309"/>
      <c r="D89" s="312" t="s">
        <v>205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f>+AN90+AN91</f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f>+AT90+AT91</f>
        <v>3613.2973311599999</v>
      </c>
      <c r="AU89" s="487">
        <v>3633.52987695</v>
      </c>
      <c r="AV89" s="52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4278.8784477999998</v>
      </c>
      <c r="BG89" s="612">
        <v>4281.1003989700002</v>
      </c>
      <c r="BH89" s="601">
        <v>4292.9828457599997</v>
      </c>
      <c r="BI89" s="601">
        <v>4294.2115668300003</v>
      </c>
      <c r="BJ89" s="601">
        <v>4295.6276592000004</v>
      </c>
      <c r="BK89" s="623">
        <v>4299.5777234500001</v>
      </c>
      <c r="BL89" s="422">
        <f>+BK89-BF89</f>
        <v>20.699275650000345</v>
      </c>
      <c r="BM89" s="559">
        <f>+(BK89/BF89-1)</f>
        <v>4.837547012031429E-3</v>
      </c>
      <c r="BN89" s="539"/>
      <c r="BO89" s="533"/>
      <c r="BP89" s="534"/>
      <c r="BQ89" s="384"/>
      <c r="BR89" s="394"/>
    </row>
    <row r="90" spans="1:70" s="310" customFormat="1" x14ac:dyDescent="0.2">
      <c r="A90" s="308"/>
      <c r="B90" s="649"/>
      <c r="C90" s="309"/>
      <c r="D90" s="313" t="s">
        <v>28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f>+R89-R91</f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3056.61824824</v>
      </c>
      <c r="BG90" s="612">
        <v>3058.50979628</v>
      </c>
      <c r="BH90" s="601">
        <v>3069.9500890200002</v>
      </c>
      <c r="BI90" s="601">
        <v>3071.1248173600002</v>
      </c>
      <c r="BJ90" s="601">
        <v>3072.5127949100001</v>
      </c>
      <c r="BK90" s="623">
        <v>3075.57460911</v>
      </c>
      <c r="BL90" s="422">
        <f>+BK90-BF90</f>
        <v>18.956360870000026</v>
      </c>
      <c r="BM90" s="559">
        <f>+(BK90/BF90-1)</f>
        <v>6.2017430148220143E-3</v>
      </c>
      <c r="BN90" s="539"/>
      <c r="BO90" s="533"/>
      <c r="BP90" s="534"/>
      <c r="BQ90" s="384"/>
      <c r="BR90" s="394"/>
    </row>
    <row r="91" spans="1:70" s="310" customFormat="1" x14ac:dyDescent="0.2">
      <c r="A91" s="308"/>
      <c r="B91" s="649"/>
      <c r="C91" s="309"/>
      <c r="D91" s="313" t="s">
        <v>29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612">
        <v>722.59060268999997</v>
      </c>
      <c r="BH91" s="601">
        <v>723.03275673999997</v>
      </c>
      <c r="BI91" s="601">
        <v>723.08674947000009</v>
      </c>
      <c r="BJ91" s="601">
        <v>723.11486429000001</v>
      </c>
      <c r="BK91" s="623">
        <v>724.00311433999991</v>
      </c>
      <c r="BL91" s="422">
        <f>+BK91-BF91</f>
        <v>1.7429147799998645</v>
      </c>
      <c r="BM91" s="559">
        <f>+(BK91/BF91-1)</f>
        <v>2.4131397259070653E-3</v>
      </c>
      <c r="BN91" s="539"/>
      <c r="BO91" s="533"/>
      <c r="BP91" s="534"/>
      <c r="BQ91" s="384"/>
      <c r="BR91" s="394"/>
    </row>
    <row r="92" spans="1:70" s="310" customFormat="1" ht="12.75" customHeight="1" x14ac:dyDescent="0.2">
      <c r="A92" s="308"/>
      <c r="B92" s="649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612">
        <v>500</v>
      </c>
      <c r="BH92" s="601">
        <v>500</v>
      </c>
      <c r="BI92" s="601">
        <v>500</v>
      </c>
      <c r="BJ92" s="601">
        <v>500</v>
      </c>
      <c r="BK92" s="623">
        <v>500</v>
      </c>
      <c r="BL92" s="422">
        <f>+BK92-BF92</f>
        <v>0</v>
      </c>
      <c r="BM92" s="559">
        <f>+(BK92/BF92-1)</f>
        <v>0</v>
      </c>
      <c r="BN92" s="539"/>
      <c r="BO92" s="533"/>
      <c r="BP92" s="534"/>
      <c r="BQ92" s="384"/>
      <c r="BR92" s="394"/>
    </row>
    <row r="93" spans="1:70" x14ac:dyDescent="0.2">
      <c r="A93" s="3"/>
      <c r="B93" s="649"/>
      <c r="C93" s="24"/>
      <c r="D93" s="108" t="s">
        <v>120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528"/>
      <c r="BH93" s="333"/>
      <c r="BI93" s="333"/>
      <c r="BJ93" s="333"/>
      <c r="BK93" s="555"/>
      <c r="BL93" s="422" t="s">
        <v>3</v>
      </c>
      <c r="BM93" s="559" t="s">
        <v>3</v>
      </c>
      <c r="BN93" s="539"/>
      <c r="BO93" s="533"/>
      <c r="BP93" s="534"/>
      <c r="BQ93" s="384"/>
      <c r="BR93" s="394"/>
    </row>
    <row r="94" spans="1:70" ht="12.75" customHeight="1" x14ac:dyDescent="0.2">
      <c r="A94" s="3"/>
      <c r="B94" s="649"/>
      <c r="C94" s="24"/>
      <c r="D94" s="23" t="s">
        <v>200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529">
        <v>2866.9408480575648</v>
      </c>
      <c r="BH94" s="633">
        <v>2866.9408480575648</v>
      </c>
      <c r="BI94" s="633">
        <v>2866.9408480575648</v>
      </c>
      <c r="BJ94" s="633">
        <v>2866.9408480575648</v>
      </c>
      <c r="BK94" s="624">
        <v>2868.1855000657652</v>
      </c>
      <c r="BL94" s="422">
        <f>+BK94-BF94</f>
        <v>1.244652008200319</v>
      </c>
      <c r="BM94" s="559">
        <f>+(BK94/BF94-1)</f>
        <v>4.3413940997205636E-4</v>
      </c>
      <c r="BN94" s="539"/>
      <c r="BO94" s="533"/>
      <c r="BP94" s="534"/>
      <c r="BQ94" s="384"/>
      <c r="BR94" s="394"/>
    </row>
    <row r="95" spans="1:70" ht="13.5" x14ac:dyDescent="0.2">
      <c r="A95" s="3"/>
      <c r="B95" s="649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529">
        <v>1672.8119241982506</v>
      </c>
      <c r="BH95" s="633">
        <v>1672.8119241982506</v>
      </c>
      <c r="BI95" s="633">
        <v>1672.8119241982506</v>
      </c>
      <c r="BJ95" s="633">
        <v>1672.8119241982506</v>
      </c>
      <c r="BK95" s="624">
        <v>1673.814475218659</v>
      </c>
      <c r="BL95" s="422">
        <f>+BK95-BF95</f>
        <v>1.0025510204084185</v>
      </c>
      <c r="BM95" s="559">
        <f>+(BK95/BF95-1)</f>
        <v>5.9932082376135121E-4</v>
      </c>
      <c r="BN95" s="539"/>
      <c r="BO95" s="533"/>
      <c r="BP95" s="534"/>
      <c r="BQ95" s="384"/>
      <c r="BR95" s="394"/>
    </row>
    <row r="96" spans="1:70" ht="12.75" customHeight="1" thickBot="1" x14ac:dyDescent="0.25">
      <c r="A96" s="3"/>
      <c r="B96" s="649"/>
      <c r="C96" s="24"/>
      <c r="D96" s="23" t="s">
        <v>60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530">
        <v>2030.7471590379007</v>
      </c>
      <c r="BH96" s="634">
        <v>2030.7471590379007</v>
      </c>
      <c r="BI96" s="634">
        <v>2030.7471590379007</v>
      </c>
      <c r="BJ96" s="634">
        <v>2030.7471590379007</v>
      </c>
      <c r="BK96" s="625">
        <v>2017.9467563788696</v>
      </c>
      <c r="BL96" s="422">
        <f>+BK96-BF96</f>
        <v>-12.800402659031079</v>
      </c>
      <c r="BM96" s="559">
        <f>+(BK96/BF96-1)</f>
        <v>-6.3032970904637331E-3</v>
      </c>
      <c r="BN96" s="539"/>
      <c r="BO96" s="533"/>
      <c r="BP96" s="534"/>
      <c r="BQ96" s="384"/>
      <c r="BR96" s="394"/>
    </row>
    <row r="97" spans="1:69" x14ac:dyDescent="0.2">
      <c r="A97" s="3"/>
      <c r="B97" s="64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570"/>
      <c r="BH97" s="556"/>
      <c r="BI97" s="556"/>
      <c r="BJ97" s="556"/>
      <c r="BK97" s="566"/>
      <c r="BL97" s="426"/>
      <c r="BM97" s="566"/>
      <c r="BN97" s="539"/>
      <c r="BO97" s="533"/>
      <c r="BP97" s="534"/>
      <c r="BQ97" s="384"/>
    </row>
    <row r="98" spans="1:69" ht="12.75" customHeight="1" x14ac:dyDescent="0.2">
      <c r="A98" s="3"/>
      <c r="B98" s="64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571"/>
      <c r="BH98" s="557"/>
      <c r="BI98" s="557"/>
      <c r="BJ98" s="557"/>
      <c r="BK98" s="567"/>
      <c r="BL98" s="427"/>
      <c r="BM98" s="567"/>
      <c r="BN98" s="539"/>
      <c r="BO98" s="533"/>
      <c r="BP98" s="534"/>
      <c r="BQ98" s="384"/>
    </row>
    <row r="99" spans="1:69" x14ac:dyDescent="0.2">
      <c r="A99" s="3"/>
      <c r="B99" s="64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571"/>
      <c r="BH99" s="557"/>
      <c r="BI99" s="557"/>
      <c r="BJ99" s="557"/>
      <c r="BK99" s="567"/>
      <c r="BL99" s="427"/>
      <c r="BM99" s="567"/>
      <c r="BN99" s="539"/>
      <c r="BO99" s="533"/>
      <c r="BP99" s="534"/>
      <c r="BQ99" s="384"/>
    </row>
    <row r="100" spans="1:69" x14ac:dyDescent="0.2">
      <c r="A100" s="3"/>
      <c r="B100" s="64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571"/>
      <c r="BH100" s="557" t="s">
        <v>3</v>
      </c>
      <c r="BI100" s="557"/>
      <c r="BJ100" s="557"/>
      <c r="BK100" s="567"/>
      <c r="BL100" s="427"/>
      <c r="BM100" s="567"/>
      <c r="BN100" s="539"/>
      <c r="BO100" s="533"/>
      <c r="BP100" s="534"/>
      <c r="BQ100" s="384"/>
    </row>
    <row r="101" spans="1:69" x14ac:dyDescent="0.2">
      <c r="A101" s="3"/>
      <c r="B101" s="64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571"/>
      <c r="BH101" s="557"/>
      <c r="BI101" s="557"/>
      <c r="BJ101" s="557"/>
      <c r="BK101" s="567"/>
      <c r="BL101" s="427"/>
      <c r="BM101" s="567"/>
      <c r="BN101" s="539"/>
      <c r="BO101" s="533"/>
      <c r="BP101" s="534"/>
      <c r="BQ101" s="384"/>
    </row>
    <row r="102" spans="1:69" x14ac:dyDescent="0.2">
      <c r="A102" s="3"/>
      <c r="B102" s="64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571"/>
      <c r="BH102" s="557"/>
      <c r="BI102" s="557"/>
      <c r="BJ102" s="557"/>
      <c r="BK102" s="567"/>
      <c r="BL102" s="427"/>
      <c r="BM102" s="567"/>
      <c r="BN102" s="539"/>
      <c r="BO102" s="533"/>
      <c r="BP102" s="534"/>
      <c r="BQ102" s="384"/>
    </row>
    <row r="103" spans="1:69" x14ac:dyDescent="0.2">
      <c r="A103" s="3"/>
      <c r="B103" s="64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571"/>
      <c r="BH103" s="557"/>
      <c r="BI103" s="557"/>
      <c r="BJ103" s="557"/>
      <c r="BK103" s="567"/>
      <c r="BL103" s="427"/>
      <c r="BM103" s="567"/>
      <c r="BN103" s="539"/>
      <c r="BO103" s="533"/>
      <c r="BP103" s="534"/>
      <c r="BQ103" s="384"/>
    </row>
    <row r="104" spans="1:69" x14ac:dyDescent="0.2">
      <c r="A104" s="3"/>
      <c r="B104" s="64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571"/>
      <c r="BH104" s="557"/>
      <c r="BI104" s="557"/>
      <c r="BJ104" s="557"/>
      <c r="BK104" s="567"/>
      <c r="BL104" s="427"/>
      <c r="BM104" s="567"/>
      <c r="BN104" s="539"/>
      <c r="BO104" s="533"/>
      <c r="BP104" s="534"/>
      <c r="BQ104" s="384"/>
    </row>
    <row r="105" spans="1:69" x14ac:dyDescent="0.2">
      <c r="A105" s="3"/>
      <c r="B105" s="64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572"/>
      <c r="BH105" s="573"/>
      <c r="BI105" s="557"/>
      <c r="BJ105" s="557"/>
      <c r="BK105" s="567"/>
      <c r="BL105" s="427"/>
      <c r="BM105" s="567"/>
      <c r="BN105" s="539"/>
      <c r="BO105" s="533"/>
      <c r="BP105" s="534"/>
      <c r="BQ105" s="384"/>
    </row>
    <row r="106" spans="1:69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f>0.000838959696703555</f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571"/>
      <c r="BH106" s="557"/>
      <c r="BI106" s="557"/>
      <c r="BJ106" s="557"/>
      <c r="BK106" s="567"/>
      <c r="BL106" s="427"/>
      <c r="BM106" s="567"/>
      <c r="BN106" s="539"/>
      <c r="BO106" s="533"/>
      <c r="BP106" s="534"/>
      <c r="BQ106" s="384"/>
    </row>
    <row r="107" spans="1:69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571"/>
      <c r="BH107" s="557"/>
      <c r="BI107" s="557"/>
      <c r="BJ107" s="557"/>
      <c r="BK107" s="567"/>
      <c r="BL107" s="427"/>
      <c r="BM107" s="567"/>
      <c r="BN107" s="539"/>
      <c r="BO107" s="533"/>
      <c r="BP107" s="534"/>
      <c r="BQ107" s="384"/>
    </row>
    <row r="108" spans="1:69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571"/>
      <c r="BH108" s="557"/>
      <c r="BI108" s="557"/>
      <c r="BJ108" s="557"/>
      <c r="BK108" s="567"/>
      <c r="BL108" s="427"/>
      <c r="BM108" s="567"/>
      <c r="BN108" s="539"/>
      <c r="BO108" s="533"/>
      <c r="BP108" s="534"/>
      <c r="BQ108" s="384"/>
    </row>
    <row r="109" spans="1:69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574"/>
      <c r="BH109" s="558"/>
      <c r="BI109" s="558"/>
      <c r="BJ109" s="558"/>
      <c r="BK109" s="575"/>
      <c r="BL109" s="427"/>
      <c r="BM109" s="567"/>
      <c r="BN109" s="539"/>
      <c r="BO109" s="533"/>
      <c r="BP109" s="534"/>
      <c r="BQ109" s="384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570"/>
      <c r="BH110" s="556"/>
      <c r="BI110" s="556"/>
      <c r="BJ110" s="556"/>
      <c r="BK110" s="566"/>
      <c r="BL110" s="428"/>
      <c r="BM110" s="568"/>
      <c r="BN110" s="539"/>
      <c r="BO110" s="533"/>
      <c r="BP110" s="534"/>
      <c r="BQ110" s="384"/>
    </row>
    <row r="111" spans="1:69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10">
        <v>0.04</v>
      </c>
      <c r="BH111" s="596">
        <v>0.04</v>
      </c>
      <c r="BI111" s="596">
        <v>0.04</v>
      </c>
      <c r="BJ111" s="596">
        <v>0.04</v>
      </c>
      <c r="BK111" s="626">
        <v>0.04</v>
      </c>
      <c r="BL111" s="422" t="s">
        <v>3</v>
      </c>
      <c r="BM111" s="559" t="s">
        <v>3</v>
      </c>
      <c r="BN111" s="539"/>
      <c r="BO111" s="533"/>
      <c r="BP111" s="534"/>
      <c r="BQ111" s="384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11">
        <v>0.04</v>
      </c>
      <c r="BH112" s="597">
        <v>0.04</v>
      </c>
      <c r="BI112" s="597">
        <v>0.04</v>
      </c>
      <c r="BJ112" s="597">
        <v>0.04</v>
      </c>
      <c r="BK112" s="627">
        <v>0.04</v>
      </c>
      <c r="BL112" s="429" t="s">
        <v>3</v>
      </c>
      <c r="BM112" s="569" t="s">
        <v>3</v>
      </c>
      <c r="BN112" s="539"/>
      <c r="BO112" s="533"/>
      <c r="BP112" s="534"/>
      <c r="BQ112" s="384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6"/>
      <c r="BM113" s="406"/>
      <c r="BN113" s="539"/>
      <c r="BO113" s="533"/>
      <c r="BP113" s="534"/>
      <c r="BQ113" s="384"/>
    </row>
    <row r="114" spans="3:69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321"/>
      <c r="BK114" s="415"/>
      <c r="BL114" s="645"/>
      <c r="BM114" s="645"/>
      <c r="BN114" s="539"/>
      <c r="BO114" s="533"/>
      <c r="BP114" s="534"/>
      <c r="BQ114" s="384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321"/>
      <c r="BK115" s="415"/>
      <c r="BL115" s="407"/>
      <c r="BM115" s="408"/>
      <c r="BN115" s="539"/>
      <c r="BO115" s="533"/>
      <c r="BP115" s="534"/>
      <c r="BQ115" s="384"/>
    </row>
    <row r="116" spans="3:69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321"/>
      <c r="BK116" s="415"/>
      <c r="BL116" s="407"/>
      <c r="BM116" s="408"/>
      <c r="BN116" s="539"/>
      <c r="BO116" s="533"/>
      <c r="BP116" s="534"/>
      <c r="BQ116" s="384"/>
    </row>
    <row r="117" spans="3:69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321"/>
      <c r="BK117" s="415"/>
      <c r="BL117" s="407"/>
      <c r="BM117" s="408"/>
      <c r="BN117" s="539"/>
      <c r="BO117" s="533"/>
      <c r="BP117" s="534"/>
      <c r="BQ117" s="384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322"/>
      <c r="BK118" s="416"/>
      <c r="BL118" s="407"/>
      <c r="BM118" s="406"/>
      <c r="BN118" s="539"/>
      <c r="BO118" s="533"/>
      <c r="BP118" s="534"/>
      <c r="BQ118" s="384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L119" s="406"/>
      <c r="BM119" s="406"/>
      <c r="BN119" s="539"/>
      <c r="BO119" s="533"/>
      <c r="BP119" s="534"/>
      <c r="BQ119" s="384"/>
    </row>
    <row r="120" spans="3:69" ht="13.5" customHeight="1" x14ac:dyDescent="0.25">
      <c r="C120" s="6">
        <v>2</v>
      </c>
      <c r="D120" s="1" t="s">
        <v>50</v>
      </c>
      <c r="BG120" s="406"/>
      <c r="BH120" s="406"/>
      <c r="BI120" s="406"/>
      <c r="BJ120" s="324"/>
      <c r="BK120" s="406"/>
      <c r="BL120" s="406"/>
      <c r="BM120" s="406"/>
      <c r="BN120" s="539"/>
      <c r="BO120" s="533"/>
      <c r="BP120" s="534"/>
      <c r="BQ120" s="384"/>
    </row>
    <row r="121" spans="3:69" ht="14.25" x14ac:dyDescent="0.25">
      <c r="C121" s="6">
        <v>3</v>
      </c>
      <c r="D121" s="580" t="s">
        <v>201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324"/>
      <c r="BK121" s="406"/>
      <c r="BL121" s="406"/>
      <c r="BM121" s="406"/>
      <c r="BN121" s="539"/>
      <c r="BO121" s="533"/>
      <c r="BP121" s="534"/>
      <c r="BQ121" s="384"/>
    </row>
    <row r="122" spans="3:69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324"/>
      <c r="BK122" s="406"/>
      <c r="BL122" s="406"/>
      <c r="BM122" s="406"/>
      <c r="BN122" s="539"/>
      <c r="BO122" s="533"/>
      <c r="BP122" s="534"/>
      <c r="BQ122" s="384"/>
    </row>
    <row r="123" spans="3:69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324"/>
      <c r="BK123" s="406"/>
      <c r="BL123" s="406"/>
      <c r="BM123" s="406"/>
      <c r="BN123" s="539"/>
      <c r="BO123" s="533"/>
      <c r="BP123" s="534"/>
      <c r="BQ123" s="384"/>
    </row>
    <row r="124" spans="3:69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9"/>
      <c r="BH124" s="409"/>
      <c r="BI124" s="409"/>
      <c r="BJ124" s="325"/>
      <c r="BK124" s="409"/>
      <c r="BL124" s="409"/>
      <c r="BM124" s="409"/>
      <c r="BN124" s="539"/>
      <c r="BO124" s="533"/>
      <c r="BP124" s="534"/>
      <c r="BQ124" s="384"/>
    </row>
    <row r="125" spans="3:69" ht="13.5" customHeight="1" x14ac:dyDescent="0.25">
      <c r="C125" s="6">
        <v>6</v>
      </c>
      <c r="D125" s="1" t="s">
        <v>212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325"/>
      <c r="BK125" s="409"/>
      <c r="BL125" s="409"/>
      <c r="BM125" s="409"/>
      <c r="BN125" s="539"/>
      <c r="BO125" s="533"/>
      <c r="BP125" s="534"/>
      <c r="BQ125" s="384"/>
    </row>
    <row r="126" spans="3:69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325"/>
      <c r="BK126" s="409"/>
      <c r="BL126" s="409"/>
      <c r="BM126" s="409"/>
      <c r="BN126" s="539"/>
      <c r="BO126" s="533"/>
      <c r="BP126" s="534"/>
      <c r="BQ126" s="384"/>
    </row>
    <row r="127" spans="3:69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325"/>
      <c r="BK127" s="409"/>
      <c r="BL127" s="409"/>
      <c r="BM127" s="409"/>
      <c r="BN127" s="539"/>
      <c r="BO127" s="533"/>
      <c r="BP127" s="534"/>
      <c r="BQ127" s="384"/>
    </row>
    <row r="128" spans="3:69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325"/>
      <c r="BK128" s="409"/>
      <c r="BL128" s="409"/>
      <c r="BM128" s="409"/>
      <c r="BN128" s="539"/>
      <c r="BO128" s="533"/>
      <c r="BP128" s="534"/>
      <c r="BQ128" s="384"/>
    </row>
    <row r="129" spans="3:69" ht="13.5" customHeight="1" x14ac:dyDescent="0.25">
      <c r="C129" s="6">
        <v>10</v>
      </c>
      <c r="D129" s="616" t="s">
        <v>208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325"/>
      <c r="BK129" s="409"/>
      <c r="BL129" s="409"/>
      <c r="BM129" s="409"/>
      <c r="BN129" s="539"/>
      <c r="BO129" s="533"/>
      <c r="BP129" s="534"/>
      <c r="BQ129" s="384"/>
    </row>
    <row r="130" spans="3:69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325"/>
      <c r="BK130" s="409"/>
      <c r="BL130" s="409"/>
      <c r="BM130" s="409"/>
      <c r="BN130" s="539"/>
      <c r="BO130" s="533"/>
      <c r="BP130" s="534"/>
      <c r="BQ130" s="384"/>
    </row>
    <row r="131" spans="3:69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325"/>
      <c r="BK131" s="409"/>
      <c r="BL131" s="409"/>
      <c r="BM131" s="409"/>
      <c r="BN131" s="539"/>
      <c r="BO131" s="533"/>
      <c r="BP131" s="534"/>
      <c r="BQ131" s="384"/>
    </row>
    <row r="132" spans="3:69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325"/>
      <c r="BK132" s="409"/>
      <c r="BL132" s="409"/>
      <c r="BM132" s="409"/>
      <c r="BN132" s="539"/>
      <c r="BO132" s="533"/>
      <c r="BP132" s="534"/>
      <c r="BQ132" s="384"/>
    </row>
    <row r="133" spans="3:69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326"/>
      <c r="BK133" s="410"/>
      <c r="BL133" s="410"/>
      <c r="BM133" s="410"/>
    </row>
    <row r="134" spans="3:69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326"/>
      <c r="BK134" s="410"/>
      <c r="BL134" s="410"/>
      <c r="BM134" s="410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326"/>
      <c r="BK135" s="410"/>
      <c r="BL135" s="410"/>
      <c r="BM135" s="410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326"/>
      <c r="BK136" s="410"/>
      <c r="BL136" s="410"/>
      <c r="BM136" s="410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326"/>
      <c r="BK137" s="410"/>
      <c r="BL137" s="410"/>
      <c r="BM137" s="410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326"/>
      <c r="BK138" s="410"/>
      <c r="BL138" s="410"/>
      <c r="BM138" s="410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326"/>
      <c r="BK139" s="410"/>
      <c r="BL139" s="410"/>
      <c r="BM139" s="410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326"/>
      <c r="BK140" s="410"/>
      <c r="BL140" s="410"/>
      <c r="BM140" s="410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326"/>
      <c r="BK141" s="410"/>
      <c r="BL141" s="410"/>
      <c r="BM141" s="410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326"/>
      <c r="BK142" s="410"/>
      <c r="BL142" s="410"/>
      <c r="BM142" s="410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326"/>
      <c r="BK143" s="410"/>
      <c r="BL143" s="410"/>
      <c r="BM143" s="410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326"/>
      <c r="BK144" s="410"/>
      <c r="BL144" s="410"/>
      <c r="BM144" s="410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326"/>
      <c r="BK145" s="410"/>
      <c r="BL145" s="410"/>
      <c r="BM145" s="410"/>
    </row>
    <row r="146" spans="3:65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326"/>
      <c r="BK146" s="410"/>
      <c r="BL146" s="410"/>
      <c r="BM146" s="410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326"/>
      <c r="BK147" s="410"/>
      <c r="BL147" s="410"/>
      <c r="BM147" s="410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326"/>
      <c r="BK148" s="410"/>
      <c r="BL148" s="410"/>
      <c r="BM148" s="410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326"/>
      <c r="BK149" s="410"/>
      <c r="BL149" s="410"/>
      <c r="BM149" s="410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326"/>
      <c r="BK150" s="410"/>
      <c r="BL150" s="410"/>
      <c r="BM150" s="410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326"/>
      <c r="BK151" s="410"/>
      <c r="BL151" s="410"/>
      <c r="BM151" s="410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326"/>
      <c r="BK152" s="410"/>
      <c r="BL152" s="410"/>
      <c r="BM152" s="410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326"/>
      <c r="BK153" s="410"/>
      <c r="BL153" s="410"/>
      <c r="BM153" s="410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326"/>
      <c r="BK154" s="410"/>
      <c r="BL154" s="410"/>
      <c r="BM154" s="410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326"/>
      <c r="BK155" s="410"/>
      <c r="BL155" s="410"/>
      <c r="BM155" s="410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326"/>
      <c r="BK156" s="410"/>
      <c r="BL156" s="410"/>
      <c r="BM156" s="410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326"/>
      <c r="BK157" s="410"/>
      <c r="BL157" s="410"/>
      <c r="BM157" s="410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326"/>
      <c r="BK158" s="410"/>
      <c r="BL158" s="410"/>
      <c r="BM158" s="410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326"/>
      <c r="BK159" s="410"/>
      <c r="BL159" s="410"/>
      <c r="BM159" s="410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326"/>
      <c r="BK160" s="410"/>
      <c r="BL160" s="410"/>
      <c r="BM160" s="410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326"/>
      <c r="BK161" s="410"/>
      <c r="BL161" s="410"/>
      <c r="BM161" s="410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326"/>
      <c r="BK162" s="410"/>
      <c r="BL162" s="410"/>
      <c r="BM162" s="410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326"/>
      <c r="BK163" s="410"/>
      <c r="BL163" s="410"/>
      <c r="BM163" s="410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326"/>
      <c r="BK164" s="410"/>
      <c r="BL164" s="410"/>
      <c r="BM164" s="410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326"/>
      <c r="BK165" s="410"/>
      <c r="BL165" s="410"/>
      <c r="BM165" s="410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326"/>
      <c r="BK166" s="410"/>
      <c r="BL166" s="410"/>
      <c r="BM166" s="410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326"/>
      <c r="BK167" s="410"/>
      <c r="BL167" s="410"/>
      <c r="BM167" s="410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326"/>
      <c r="BK168" s="410"/>
      <c r="BL168" s="410"/>
      <c r="BM168" s="410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326"/>
      <c r="BK169" s="410"/>
      <c r="BL169" s="410"/>
      <c r="BM169" s="410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326"/>
      <c r="BK170" s="410"/>
      <c r="BL170" s="410"/>
      <c r="BM170" s="410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326"/>
      <c r="BK171" s="410"/>
      <c r="BL171" s="410"/>
      <c r="BM171" s="410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326"/>
      <c r="BK172" s="410"/>
      <c r="BL172" s="410"/>
      <c r="BM172" s="410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326"/>
      <c r="BK173" s="410"/>
      <c r="BL173" s="410"/>
      <c r="BM173" s="410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326"/>
      <c r="BK174" s="410"/>
      <c r="BL174" s="410"/>
      <c r="BM174" s="410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326"/>
      <c r="BK175" s="410"/>
      <c r="BL175" s="410"/>
      <c r="BM175" s="410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326"/>
      <c r="BK176" s="410"/>
      <c r="BL176" s="410"/>
      <c r="BM176" s="410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326"/>
      <c r="BK177" s="410"/>
      <c r="BL177" s="410"/>
      <c r="BM177" s="410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326"/>
      <c r="BK178" s="410"/>
      <c r="BL178" s="410"/>
      <c r="BM178" s="410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326"/>
      <c r="BK179" s="410"/>
      <c r="BL179" s="410"/>
      <c r="BM179" s="410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326"/>
      <c r="BK180" s="410"/>
      <c r="BL180" s="410"/>
      <c r="BM180" s="410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326"/>
      <c r="BK181" s="410"/>
      <c r="BL181" s="410"/>
      <c r="BM181" s="410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326"/>
      <c r="BK182" s="410"/>
      <c r="BL182" s="410"/>
      <c r="BM182" s="410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326"/>
      <c r="BK183" s="410"/>
      <c r="BL183" s="410"/>
      <c r="BM183" s="410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326"/>
      <c r="BK184" s="410"/>
      <c r="BL184" s="410"/>
      <c r="BM184" s="410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326"/>
      <c r="BK185" s="410"/>
      <c r="BL185" s="410"/>
      <c r="BM185" s="410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326"/>
      <c r="BK186" s="410"/>
      <c r="BL186" s="410"/>
      <c r="BM186" s="410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326"/>
      <c r="BK187" s="410"/>
      <c r="BL187" s="410"/>
      <c r="BM187" s="410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326"/>
      <c r="BK188" s="410"/>
      <c r="BL188" s="410"/>
      <c r="BM188" s="410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326"/>
      <c r="BK189" s="410"/>
      <c r="BL189" s="410"/>
      <c r="BM189" s="410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326"/>
      <c r="BK190" s="410"/>
      <c r="BL190" s="410"/>
      <c r="BM190" s="410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326"/>
      <c r="BK191" s="410"/>
      <c r="BL191" s="410"/>
      <c r="BM191" s="410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326"/>
      <c r="BK192" s="410"/>
      <c r="BL192" s="410"/>
      <c r="BM192" s="410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326"/>
      <c r="BK193" s="410"/>
      <c r="BL193" s="410"/>
      <c r="BM193" s="410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326"/>
      <c r="BK194" s="410"/>
      <c r="BL194" s="410"/>
      <c r="BM194" s="410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326"/>
      <c r="BK195" s="410"/>
      <c r="BL195" s="410"/>
      <c r="BM195" s="410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326"/>
      <c r="BK196" s="410"/>
      <c r="BL196" s="410"/>
      <c r="BM196" s="410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326"/>
      <c r="BK197" s="410"/>
      <c r="BL197" s="410"/>
      <c r="BM197" s="410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326"/>
      <c r="BK198" s="410"/>
      <c r="BL198" s="410"/>
      <c r="BM198" s="410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326"/>
      <c r="BK199" s="410"/>
      <c r="BL199" s="410"/>
      <c r="BM199" s="410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326"/>
      <c r="BK200" s="410"/>
      <c r="BL200" s="410"/>
      <c r="BM200" s="410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326"/>
      <c r="BK201" s="410"/>
      <c r="BL201" s="410"/>
      <c r="BM201" s="410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326"/>
      <c r="BK202" s="410"/>
      <c r="BL202" s="410"/>
      <c r="BM202" s="410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326"/>
      <c r="BK203" s="410"/>
      <c r="BL203" s="410"/>
      <c r="BM203" s="410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326"/>
      <c r="BK204" s="410"/>
      <c r="BL204" s="410"/>
      <c r="BM204" s="410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326"/>
      <c r="BK205" s="410"/>
      <c r="BL205" s="410"/>
      <c r="BM205" s="410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326"/>
      <c r="BK206" s="410"/>
      <c r="BL206" s="410"/>
      <c r="BM206" s="410"/>
    </row>
    <row r="207" spans="3:65" x14ac:dyDescent="0.2">
      <c r="E207" s="200"/>
      <c r="F207" s="200"/>
      <c r="G207" s="200"/>
      <c r="H207" s="200"/>
      <c r="I207" s="200"/>
      <c r="J207" s="200"/>
      <c r="K207" s="200"/>
    </row>
    <row r="208" spans="3:65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7" orientation="portrait" r:id="rId1"/>
  <headerFooter alignWithMargins="0"/>
  <ignoredErrors>
    <ignoredError sqref="E45:G49 E15:F15 BG85:BJ85 BG83:BJ83 AC92:AO93 AC86:AN91 AC84:AN84 AO88 AC94:AM96 BI93:BJ93 AP45:AS49 BG87:BJ88 AF15:AN15 BG82:BK82 AU106 AT45:AV46 AT89 AP14:AU15 BL113:BM121 BL31:BM31 BL19:BM21 BL97:BM112 BL55:BM55 BL57:BM57 BL59:BM59 BL61:BM61 BL63:BM63 BL77:BM78 BL65:BM65 BM27 BL44:BM52 BL81:BM81 BL40:BM40 BL93:BM93 BL87:BM88 BL85:BM85 AV15:AV16 AP82:AV82 AC82:AO83 AO14:AO15 AF45:AO49 BL36:BM36 BL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52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62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9"/>
      <c r="AX5" s="536"/>
      <c r="AY5" s="540"/>
      <c r="AZ5" s="578"/>
      <c r="BA5" s="579"/>
      <c r="BB5" s="581"/>
      <c r="BC5" s="592"/>
      <c r="BD5" s="599"/>
      <c r="BE5" s="615"/>
      <c r="BF5" s="617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14001.125694049999</v>
      </c>
      <c r="BH6" s="62">
        <f>+entero!BH7</f>
        <v>14102.946712909998</v>
      </c>
      <c r="BI6" s="62">
        <f>+entero!BI7</f>
        <v>14064.860675419999</v>
      </c>
      <c r="BJ6" s="62">
        <f>+entero!BJ7</f>
        <v>14068.60761304</v>
      </c>
      <c r="BK6" s="62">
        <f>+entero!BK7</f>
        <v>14088.637350710002</v>
      </c>
      <c r="BL6" s="84">
        <f>+entero!BL7</f>
        <v>81.509524970000712</v>
      </c>
      <c r="BM6" s="138">
        <f>+entero!BM7</f>
        <v>5.8191462221266477E-3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11838.290815159999</v>
      </c>
      <c r="BH7" s="62">
        <f>+entero!BH8</f>
        <v>11903.817660709999</v>
      </c>
      <c r="BI7" s="62">
        <f>+entero!BI8</f>
        <v>11881.787894020001</v>
      </c>
      <c r="BJ7" s="62">
        <f>+entero!BJ8</f>
        <v>11880.598783970001</v>
      </c>
      <c r="BK7" s="62">
        <f>+entero!BK8</f>
        <v>11886.186136880002</v>
      </c>
      <c r="BL7" s="84">
        <f>+entero!BL8</f>
        <v>51.998682680003185</v>
      </c>
      <c r="BM7" s="138">
        <f>+entero!BM8</f>
        <v>4.3939377233330745E-3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247.93225870000001</v>
      </c>
      <c r="BH8" s="62">
        <f>+entero!BH9</f>
        <v>248.19362834</v>
      </c>
      <c r="BI8" s="62">
        <f>+entero!BI9</f>
        <v>248.84374395</v>
      </c>
      <c r="BJ8" s="62">
        <f>+entero!BJ9</f>
        <v>248.88840838000002</v>
      </c>
      <c r="BK8" s="62">
        <f>+entero!BK9</f>
        <v>249.50378498999999</v>
      </c>
      <c r="BL8" s="84">
        <f>+entero!BL9</f>
        <v>2.3837572399999658</v>
      </c>
      <c r="BM8" s="138">
        <f>+entero!BM9</f>
        <v>9.6461515551928834E-3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1901.6010364399999</v>
      </c>
      <c r="BH9" s="62">
        <f>+entero!BH10</f>
        <v>1937.6198176099999</v>
      </c>
      <c r="BI9" s="62">
        <f>+entero!BI10</f>
        <v>1920.8785524500001</v>
      </c>
      <c r="BJ9" s="62">
        <f>+entero!BJ10</f>
        <v>1925.7675394400001</v>
      </c>
      <c r="BK9" s="62">
        <f>+entero!BK10</f>
        <v>1939.5615325900001</v>
      </c>
      <c r="BL9" s="84">
        <f>+entero!BL10</f>
        <v>26.999196299999994</v>
      </c>
      <c r="BM9" s="138">
        <f>+entero!BM10</f>
        <v>1.4116766699679539E-2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13.301583749999999</v>
      </c>
      <c r="BH10" s="62">
        <f>+entero!BH11</f>
        <v>13.31560625</v>
      </c>
      <c r="BI10" s="62">
        <f>+entero!BI11</f>
        <v>13.350485000000001</v>
      </c>
      <c r="BJ10" s="62">
        <f>+entero!BJ11</f>
        <v>13.352881250000001</v>
      </c>
      <c r="BK10" s="62">
        <f>+entero!BK11</f>
        <v>13.38589625</v>
      </c>
      <c r="BL10" s="84">
        <f>+entero!BL11</f>
        <v>0.12788875000000033</v>
      </c>
      <c r="BM10" s="138">
        <f>+entero!BM11</f>
        <v>9.646151580469331E-3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84">
        <f>+entero!BG12</f>
        <v>14001.01063479</v>
      </c>
      <c r="BH11" s="84">
        <f>+entero!BH12</f>
        <v>14102.393289059999</v>
      </c>
      <c r="BI11" s="84">
        <f>+entero!BI12</f>
        <v>14065.401321619998</v>
      </c>
      <c r="BJ11" s="84">
        <f>+entero!BJ12</f>
        <v>14068.995133510001</v>
      </c>
      <c r="BK11" s="84">
        <f>+entero!BK12</f>
        <v>14089.0544095</v>
      </c>
      <c r="BL11" s="84">
        <f>+entero!BL12</f>
        <v>81.425130859999626</v>
      </c>
      <c r="BM11" s="138">
        <f>+entero!BM12</f>
        <v>5.812913037623213E-3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84">
        <f>+entero!BG13</f>
        <v>1437.3591256320428</v>
      </c>
      <c r="BH12" s="84">
        <f>+entero!BH13</f>
        <v>1421.4298919090108</v>
      </c>
      <c r="BI12" s="84">
        <f>+entero!BI13</f>
        <v>1454.9432814512847</v>
      </c>
      <c r="BJ12" s="84">
        <f>+entero!BJ13</f>
        <v>1475.9478761772323</v>
      </c>
      <c r="BK12" s="84">
        <f>+entero!BK13</f>
        <v>1489.8312587807306</v>
      </c>
      <c r="BL12" s="84">
        <f>+entero!BL13</f>
        <v>74.464632362974044</v>
      </c>
      <c r="BM12" s="138">
        <f>+entero!BM13</f>
        <v>5.2611550232353199E-2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84">
        <f>+entero!BG14</f>
        <v>186.57502440816327</v>
      </c>
      <c r="BH13" s="84">
        <f>+entero!BH14</f>
        <v>187.96932051020406</v>
      </c>
      <c r="BI13" s="84">
        <f>+entero!BI14</f>
        <v>185.77657247667634</v>
      </c>
      <c r="BJ13" s="84">
        <f>+entero!BJ14</f>
        <v>186.37137467784254</v>
      </c>
      <c r="BK13" s="84">
        <f>+entero!BK14</f>
        <v>184.56360559037907</v>
      </c>
      <c r="BL13" s="84">
        <f>+entero!BL14</f>
        <v>-1.4571095087462709</v>
      </c>
      <c r="BM13" s="138">
        <f>+entero!BM14</f>
        <v>-7.8330497115325359E-3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84">
        <f>+entero!BG15</f>
        <v>15624.944784830206</v>
      </c>
      <c r="BH14" s="84">
        <f>+entero!BH15</f>
        <v>15711.792501479214</v>
      </c>
      <c r="BI14" s="84">
        <f>+entero!BI15</f>
        <v>15706.12117554796</v>
      </c>
      <c r="BJ14" s="84">
        <f>+entero!BJ15</f>
        <v>15731.314384365076</v>
      </c>
      <c r="BK14" s="84">
        <f>+entero!BK15</f>
        <v>15763.449273871111</v>
      </c>
      <c r="BL14" s="84">
        <f>+entero!BL15</f>
        <v>154.43265371422785</v>
      </c>
      <c r="BM14" s="138">
        <f>+entero!BM15</f>
        <v>9.8938105757924166E-3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84">
        <f>+entero!BG16</f>
        <v>0</v>
      </c>
      <c r="BH15" s="84">
        <f>+entero!BH16</f>
        <v>0.3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-3.3000000000000003</v>
      </c>
      <c r="BM15" s="138">
        <f>+entero!BM16</f>
        <v>-0.91666666666666663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84">
        <f>+entero!BG17</f>
        <v>0</v>
      </c>
      <c r="BH16" s="84">
        <f>+entero!BH17</f>
        <v>0.4</v>
      </c>
      <c r="BI16" s="84">
        <f>+entero!BI17</f>
        <v>0.7</v>
      </c>
      <c r="BJ16" s="84">
        <f>+entero!BJ17</f>
        <v>0</v>
      </c>
      <c r="BK16" s="84">
        <f>+entero!BK17</f>
        <v>3.2</v>
      </c>
      <c r="BL16" s="84">
        <f>+entero!BL17</f>
        <v>-48.7</v>
      </c>
      <c r="BM16" s="138">
        <f>+entero!BM17</f>
        <v>-0.9188679245283019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41437.44608530093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0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BD3:BD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Y3:AY4"/>
    <mergeCell ref="AZ3:AZ4"/>
    <mergeCell ref="BA3:BA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W3:W4"/>
    <mergeCell ref="AR3:AR4"/>
    <mergeCell ref="AQ3:AQ4"/>
    <mergeCell ref="S3:S4"/>
    <mergeCell ref="AW3:AW4"/>
    <mergeCell ref="AV3:AV4"/>
    <mergeCell ref="AM3:AM4"/>
    <mergeCell ref="AS3:A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M29" sqref="D1:BM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7"/>
      <c r="BH5" s="41"/>
      <c r="BI5" s="41"/>
      <c r="BJ5" s="41"/>
      <c r="BK5" s="458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4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13">
        <f>+entero!BG22</f>
        <v>42414.217970980404</v>
      </c>
      <c r="BH6" s="9">
        <f>+entero!BH22</f>
        <v>42794.569612353123</v>
      </c>
      <c r="BI6" s="9">
        <f>+entero!BI22</f>
        <v>43169.462791503829</v>
      </c>
      <c r="BJ6" s="9">
        <f>+entero!BJ22</f>
        <v>43318.307210508341</v>
      </c>
      <c r="BK6" s="455">
        <f>+entero!BK22</f>
        <v>44274.85052907245</v>
      </c>
      <c r="BL6" s="13">
        <f>+entero!BL22</f>
        <v>2806.3574029359734</v>
      </c>
      <c r="BM6" s="109">
        <f>+entero!BM22</f>
        <v>6.7674448512024643E-2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4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13">
        <f>+entero!BG23</f>
        <v>31308.27580223</v>
      </c>
      <c r="BH7" s="9">
        <f>+entero!BH23</f>
        <v>31371.750627500001</v>
      </c>
      <c r="BI7" s="9">
        <f>+entero!BI23</f>
        <v>31557.664476729999</v>
      </c>
      <c r="BJ7" s="9">
        <f>+entero!BJ23</f>
        <v>31632.62245594</v>
      </c>
      <c r="BK7" s="455">
        <f>+entero!BK23</f>
        <v>31796.824855769999</v>
      </c>
      <c r="BL7" s="13">
        <f>+entero!BL23</f>
        <v>583.52088550999906</v>
      </c>
      <c r="BM7" s="109">
        <f>+entero!BM23</f>
        <v>1.8694620924012861E-2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4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13">
        <f>+entero!BG24</f>
        <v>-64738.657152184052</v>
      </c>
      <c r="BH8" s="9">
        <f>+entero!BH24</f>
        <v>-65370.667335155224</v>
      </c>
      <c r="BI8" s="9">
        <f>+entero!BI24</f>
        <v>-64930.988589142398</v>
      </c>
      <c r="BJ8" s="9">
        <f>+entero!BJ24</f>
        <v>-64880.684159453391</v>
      </c>
      <c r="BK8" s="455">
        <f>+entero!BK24</f>
        <v>-64854.560661070173</v>
      </c>
      <c r="BL8" s="13">
        <f>+entero!BL24</f>
        <v>24.47221991236438</v>
      </c>
      <c r="BM8" s="109">
        <f>+entero!BM24</f>
        <v>-3.7719766811661337E-4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4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13">
        <f>+entero!BG25</f>
        <v>-36047.048399455569</v>
      </c>
      <c r="BH9" s="9">
        <f>+entero!BH25</f>
        <v>-35892.075640909636</v>
      </c>
      <c r="BI9" s="9">
        <f>+entero!BI25</f>
        <v>-35472.840049554499</v>
      </c>
      <c r="BJ9" s="9">
        <f>+entero!BJ25</f>
        <v>-35337.216491562409</v>
      </c>
      <c r="BK9" s="455">
        <f>+entero!BK25</f>
        <v>-34374.450266142085</v>
      </c>
      <c r="BL9" s="13">
        <f>+entero!BL25</f>
        <v>2611.4312354204158</v>
      </c>
      <c r="BM9" s="109">
        <f>+entero!BM25</f>
        <v>-7.0606164552549422E-2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4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13">
        <f>+entero!BG26</f>
        <v>-21100.976881861607</v>
      </c>
      <c r="BH10" s="9">
        <f>+entero!BH26</f>
        <v>-21418.211408729519</v>
      </c>
      <c r="BI10" s="9">
        <f>+entero!BI26</f>
        <v>-21608.308425514628</v>
      </c>
      <c r="BJ10" s="9">
        <f>+entero!BJ26</f>
        <v>-21683.230848705538</v>
      </c>
      <c r="BK10" s="455">
        <f>+entero!BK26</f>
        <v>-22368.947867990846</v>
      </c>
      <c r="BL10" s="13">
        <f>+entero!BL26</f>
        <v>-2120.0341366411703</v>
      </c>
      <c r="BM10" s="109">
        <f>+entero!BM26</f>
        <v>0.10469866012411821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4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59"/>
      <c r="BH11" s="135"/>
      <c r="BI11" s="135"/>
      <c r="BJ11" s="135"/>
      <c r="BK11" s="460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4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14">
        <f>+entero!BG28</f>
        <v>48909.182182654666</v>
      </c>
      <c r="BH12" s="10">
        <f>+entero!BH28</f>
        <v>49383.464418874675</v>
      </c>
      <c r="BI12" s="10">
        <f>+entero!BI28</f>
        <v>49462.346185994676</v>
      </c>
      <c r="BJ12" s="10">
        <f>+entero!BJ28</f>
        <v>49718.810383994671</v>
      </c>
      <c r="BK12" s="461">
        <f>+entero!BK28</f>
        <v>50238.05747737467</v>
      </c>
      <c r="BL12" s="13">
        <f>+entero!BL28</f>
        <v>1826.1842031300039</v>
      </c>
      <c r="BM12" s="109">
        <f>+entero!BM28</f>
        <v>3.772182482559594E-2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4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14">
        <f>+entero!BG29</f>
        <v>80435.772325595375</v>
      </c>
      <c r="BH13" s="10">
        <f>+entero!BH29</f>
        <v>81091.954463795366</v>
      </c>
      <c r="BI13" s="10">
        <f>+entero!BI29</f>
        <v>81125.715955985375</v>
      </c>
      <c r="BJ13" s="10">
        <f>+entero!BJ29</f>
        <v>81792.495635005369</v>
      </c>
      <c r="BK13" s="461">
        <f>+entero!BK29</f>
        <v>83145.717533775372</v>
      </c>
      <c r="BL13" s="13">
        <f>+entero!BL29</f>
        <v>3377.1027307400072</v>
      </c>
      <c r="BM13" s="109">
        <f>+entero!BM29</f>
        <v>4.2336233856871575E-2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4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14">
        <f>+entero!BG30</f>
        <v>120485.94967953498</v>
      </c>
      <c r="BH14" s="10">
        <f>+entero!BH30</f>
        <v>121114.63669810498</v>
      </c>
      <c r="BI14" s="10">
        <f>+entero!BI30</f>
        <v>121136.04722869498</v>
      </c>
      <c r="BJ14" s="10">
        <f>+entero!BJ30</f>
        <v>121883.74630730496</v>
      </c>
      <c r="BK14" s="461">
        <f>+entero!BK30</f>
        <v>123179.99708202499</v>
      </c>
      <c r="BL14" s="13">
        <f>+entero!BL30</f>
        <v>3362.9369723500276</v>
      </c>
      <c r="BM14" s="109">
        <f>+entero!BM30</f>
        <v>2.8067263286811972E-2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4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2"/>
      <c r="BH15" s="150"/>
      <c r="BI15" s="150"/>
      <c r="BJ15" s="150"/>
      <c r="BK15" s="463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4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464">
        <f>+entero!BG32</f>
        <v>0.84942141575853292</v>
      </c>
      <c r="BH16" s="102">
        <f>+entero!BH32</f>
        <v>0.85198298976897302</v>
      </c>
      <c r="BI16" s="102">
        <f>+entero!BI32</f>
        <v>0.85041337044426046</v>
      </c>
      <c r="BJ16" s="102">
        <f>+entero!BJ32</f>
        <v>0.84847507580416004</v>
      </c>
      <c r="BK16" s="465">
        <f>+entero!BK32</f>
        <v>0.84923004845055261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4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464">
        <f>+entero!BG33</f>
        <v>0.78789324098994862</v>
      </c>
      <c r="BH17" s="102">
        <f>+entero!BH33</f>
        <v>0.79015592603518092</v>
      </c>
      <c r="BI17" s="102">
        <f>+entero!BI33</f>
        <v>0.78847705323140049</v>
      </c>
      <c r="BJ17" s="102">
        <f>+entero!BJ33</f>
        <v>0.78886039957470866</v>
      </c>
      <c r="BK17" s="465">
        <f>+entero!BK33</f>
        <v>0.79156540533019681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4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464">
        <f>+entero!BG34</f>
        <v>0.79525775759319062</v>
      </c>
      <c r="BH18" s="102">
        <f>+entero!BH34</f>
        <v>0.79681440592062602</v>
      </c>
      <c r="BI18" s="102">
        <f>+entero!BI34</f>
        <v>0.79582059277568151</v>
      </c>
      <c r="BJ18" s="102">
        <f>+entero!BJ34</f>
        <v>0.7958510059584486</v>
      </c>
      <c r="BK18" s="465">
        <f>+entero!BK34</f>
        <v>0.79798717202979075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4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466">
        <f>+entero!BG35</f>
        <v>0.72593530035260412</v>
      </c>
      <c r="BH19" s="151">
        <f>+entero!BH35</f>
        <v>0.72765423107043781</v>
      </c>
      <c r="BI19" s="151">
        <f>+entero!BI35</f>
        <v>0.72577936923117681</v>
      </c>
      <c r="BJ19" s="151">
        <f>+entero!BJ35</f>
        <v>0.72598495342806624</v>
      </c>
      <c r="BK19" s="467">
        <f>+entero!BK35</f>
        <v>0.72742588229590688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M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2"/>
      <c r="BH5" s="37"/>
      <c r="BI5" s="37"/>
      <c r="BJ5" s="37"/>
      <c r="BK5" s="443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35">
        <f>+entero!BG37</f>
        <v>2709.3088654475218</v>
      </c>
      <c r="BH6" s="36">
        <f>+entero!BH37</f>
        <v>2709.3088654475218</v>
      </c>
      <c r="BI6" s="36">
        <f>+entero!BI37</f>
        <v>2709.3088654475218</v>
      </c>
      <c r="BJ6" s="36">
        <f>+entero!BJ37</f>
        <v>2709.3088654475218</v>
      </c>
      <c r="BK6" s="454">
        <f>+entero!BK37</f>
        <v>2694.0815786763851</v>
      </c>
      <c r="BL6" s="35">
        <f>+entero!BL37</f>
        <v>-15.227286771136733</v>
      </c>
      <c r="BM6" s="140">
        <f>+entero!BM37</f>
        <v>-5.6203583745412233E-3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13">
        <f>+entero!BG38</f>
        <v>1045.0107603469389</v>
      </c>
      <c r="BH7" s="9">
        <f>+entero!BH38</f>
        <v>1045.0107603469389</v>
      </c>
      <c r="BI7" s="9">
        <f>+entero!BI38</f>
        <v>1045.0107603469389</v>
      </c>
      <c r="BJ7" s="9">
        <f>+entero!BJ38</f>
        <v>1045.0107603469389</v>
      </c>
      <c r="BK7" s="455">
        <f>+entero!BK38</f>
        <v>1045.1066514183676</v>
      </c>
      <c r="BL7" s="13">
        <f>+entero!BL38</f>
        <v>9.5891071428695795E-2</v>
      </c>
      <c r="BM7" s="109">
        <f>+entero!BM38</f>
        <v>9.1760845980948247E-5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13">
        <f>+entero!BG39</f>
        <v>7168.7738159800019</v>
      </c>
      <c r="BH8" s="9">
        <f>+entero!BH39</f>
        <v>7168.7738159800019</v>
      </c>
      <c r="BI8" s="9">
        <f>+entero!BI39</f>
        <v>7168.7738159800019</v>
      </c>
      <c r="BJ8" s="9">
        <f>+entero!BJ39</f>
        <v>7168.7738159800019</v>
      </c>
      <c r="BK8" s="455">
        <f>+entero!BK39</f>
        <v>7169.4316287300016</v>
      </c>
      <c r="BL8" s="13">
        <f>+entero!BL39</f>
        <v>0.65781274999972084</v>
      </c>
      <c r="BM8" s="109">
        <f>+entero!BM39</f>
        <v>9.1760845980948247E-5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5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13">
        <f>+entero!BG41</f>
        <v>1664.2981051005829</v>
      </c>
      <c r="BH10" s="9">
        <f>+entero!BH41</f>
        <v>1664.2981051005829</v>
      </c>
      <c r="BI10" s="9">
        <f>+entero!BI41</f>
        <v>1664.2981051005829</v>
      </c>
      <c r="BJ10" s="9">
        <f>+entero!BJ41</f>
        <v>1664.2981051005829</v>
      </c>
      <c r="BK10" s="455">
        <f>+entero!BK41</f>
        <v>1648.9749272580173</v>
      </c>
      <c r="BL10" s="13">
        <f>+entero!BL41</f>
        <v>-15.323177842565656</v>
      </c>
      <c r="BM10" s="109">
        <f>+entero!BM41</f>
        <v>-9.2069911006956717E-3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13">
        <f>+entero!BG42</f>
        <v>11417.085000989999</v>
      </c>
      <c r="BH11" s="9">
        <f>+entero!BH42</f>
        <v>11417.085000989999</v>
      </c>
      <c r="BI11" s="9">
        <f>+entero!BI42</f>
        <v>11417.085000989999</v>
      </c>
      <c r="BJ11" s="9">
        <f>+entero!BJ42</f>
        <v>11417.085000989999</v>
      </c>
      <c r="BK11" s="455">
        <f>+entero!BK42</f>
        <v>11311.968000989998</v>
      </c>
      <c r="BL11" s="13">
        <f>+entero!BL42</f>
        <v>-105.11700000000019</v>
      </c>
      <c r="BM11" s="109">
        <f>+entero!BM42</f>
        <v>-9.2069911006955607E-3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5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13">
        <f>+entero!BG45</f>
        <v>0.2</v>
      </c>
      <c r="BH13" s="9">
        <f>+entero!BH45</f>
        <v>0.2</v>
      </c>
      <c r="BI13" s="9">
        <f>+entero!BI45</f>
        <v>0.05</v>
      </c>
      <c r="BJ13" s="9">
        <f>+entero!BJ45</f>
        <v>0.05</v>
      </c>
      <c r="BK13" s="455">
        <f>+entero!BK45</f>
        <v>0.05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13">
        <f>+entero!BG46</f>
        <v>0.2</v>
      </c>
      <c r="BH14" s="9">
        <f>+entero!BH46</f>
        <v>0.2</v>
      </c>
      <c r="BI14" s="9">
        <f>+entero!BI46</f>
        <v>0.05</v>
      </c>
      <c r="BJ14" s="9">
        <f>+entero!BJ46</f>
        <v>0.05</v>
      </c>
      <c r="BK14" s="455">
        <f>+entero!BK46</f>
        <v>0.05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5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13">
        <f>+entero!BG48</f>
        <v>0.2</v>
      </c>
      <c r="BH16" s="9">
        <f>+entero!BH48</f>
        <v>0.2</v>
      </c>
      <c r="BI16" s="9">
        <f>+entero!BI48</f>
        <v>0.05</v>
      </c>
      <c r="BJ16" s="9">
        <f>+entero!BJ48</f>
        <v>0.05</v>
      </c>
      <c r="BK16" s="455">
        <f>+entero!BK48</f>
        <v>0.05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5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5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6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AH3:AH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BL3:BM3"/>
    <mergeCell ref="AZ3:AZ4"/>
    <mergeCell ref="AK3:AK4"/>
    <mergeCell ref="AY3:AY4"/>
    <mergeCell ref="BG3:BK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M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49"/>
      <c r="BH5" s="57"/>
      <c r="BI5" s="57"/>
      <c r="BJ5" s="57"/>
      <c r="BK5" s="450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5">
        <f>+entero!BG53</f>
        <v>13543.705865378277</v>
      </c>
      <c r="BH6" s="68">
        <f>+entero!BH53</f>
        <v>13616.828980077982</v>
      </c>
      <c r="BI6" s="68">
        <f>+entero!BI53</f>
        <v>13602.988223150871</v>
      </c>
      <c r="BJ6" s="68">
        <f>+entero!BJ53</f>
        <v>13693.877297203348</v>
      </c>
      <c r="BK6" s="444">
        <f>+entero!BK53</f>
        <v>13844.490282083816</v>
      </c>
      <c r="BL6" s="75">
        <f>+entero!BL53</f>
        <v>395.83539433527767</v>
      </c>
      <c r="BM6" s="106">
        <f>+entero!BM53</f>
        <v>2.9433084396854881E-2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5">
        <f>+entero!BG54</f>
        <v>11205.064020706264</v>
      </c>
      <c r="BH7" s="68">
        <f>+entero!BH54</f>
        <v>11279.573510716467</v>
      </c>
      <c r="BI7" s="68">
        <f>+entero!BI54</f>
        <v>11270.605705542999</v>
      </c>
      <c r="BJ7" s="68">
        <f>+entero!BJ54</f>
        <v>11362.517462143582</v>
      </c>
      <c r="BK7" s="444">
        <f>+entero!BK54</f>
        <v>11508.078228818509</v>
      </c>
      <c r="BL7" s="75">
        <f>+entero!BL54</f>
        <v>413.31635418950464</v>
      </c>
      <c r="BM7" s="106">
        <f>+entero!BM54</f>
        <v>3.7253287529735779E-2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451">
        <f>+entero!BG55</f>
        <v>0.72350906667950887</v>
      </c>
      <c r="BH8" s="124">
        <f>+entero!BH55</f>
        <v>0.7255196082272638</v>
      </c>
      <c r="BI8" s="124">
        <f>+entero!BI55</f>
        <v>0.72295995386696077</v>
      </c>
      <c r="BJ8" s="124">
        <f>+entero!BJ55</f>
        <v>0.72330224758314621</v>
      </c>
      <c r="BK8" s="452">
        <f>+entero!BK55</f>
        <v>0.72522672358776241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4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5">
        <f>+entero!BG56</f>
        <v>3067.6516342018472</v>
      </c>
      <c r="BH10" s="68">
        <f>+entero!BH56</f>
        <v>3120.923982987561</v>
      </c>
      <c r="BI10" s="68">
        <f>+entero!BI56</f>
        <v>3114.7599389554912</v>
      </c>
      <c r="BJ10" s="68">
        <f>+entero!BJ56</f>
        <v>3134.5337588447042</v>
      </c>
      <c r="BK10" s="444">
        <f>+entero!BK56</f>
        <v>3170.8022262863951</v>
      </c>
      <c r="BL10" s="75">
        <f>+entero!BL56</f>
        <v>176.84957977551039</v>
      </c>
      <c r="BM10" s="106">
        <f>+entero!BM56</f>
        <v>5.9068930158801436E-2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451">
        <f>+entero!BG57</f>
        <v>0.61902409933022318</v>
      </c>
      <c r="BH11" s="124">
        <f>+entero!BH57</f>
        <v>0.62833027674011876</v>
      </c>
      <c r="BI11" s="124">
        <f>+entero!BI57</f>
        <v>0.62136198749150995</v>
      </c>
      <c r="BJ11" s="124">
        <f>+entero!BJ57</f>
        <v>0.61802311316840142</v>
      </c>
      <c r="BK11" s="452">
        <f>+entero!BK57</f>
        <v>0.6198075811235968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4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5">
        <f>+entero!BG58</f>
        <v>3657.7816044782362</v>
      </c>
      <c r="BH13" s="68">
        <f>+entero!BH58</f>
        <v>3683.4401579884398</v>
      </c>
      <c r="BI13" s="68">
        <f>+entero!BI58</f>
        <v>3682.1777145292567</v>
      </c>
      <c r="BJ13" s="68">
        <f>+entero!BJ58</f>
        <v>3742.8653029403349</v>
      </c>
      <c r="BK13" s="444">
        <f>+entero!BK58</f>
        <v>3859.9430860569532</v>
      </c>
      <c r="BL13" s="75">
        <f>+entero!BL58</f>
        <v>236.4610549169106</v>
      </c>
      <c r="BM13" s="106">
        <f>+entero!BM58</f>
        <v>6.5257962612971454E-2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451">
        <f>+entero!BG59</f>
        <v>0.66913967882739278</v>
      </c>
      <c r="BH14" s="124">
        <f>+entero!BH59</f>
        <v>0.66931283459972279</v>
      </c>
      <c r="BI14" s="124">
        <f>+entero!BI59</f>
        <v>0.66599819346226463</v>
      </c>
      <c r="BJ14" s="124">
        <f>+entero!BJ59</f>
        <v>0.67278867375496476</v>
      </c>
      <c r="BK14" s="452">
        <f>+entero!BK59</f>
        <v>0.6769662855855817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4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5">
        <f>+entero!BG60</f>
        <v>4140.9775852652738</v>
      </c>
      <c r="BH16" s="68">
        <f>+entero!BH60</f>
        <v>4137.3885358162952</v>
      </c>
      <c r="BI16" s="68">
        <f>+entero!BI60</f>
        <v>4135.9190375713961</v>
      </c>
      <c r="BJ16" s="68">
        <f>+entero!BJ60</f>
        <v>4142.4498527375763</v>
      </c>
      <c r="BK16" s="444">
        <f>+entero!BK60</f>
        <v>4142.1277538483646</v>
      </c>
      <c r="BL16" s="75">
        <f>+entero!BL60</f>
        <v>1.9696330772603687</v>
      </c>
      <c r="BM16" s="106">
        <f>+entero!BM60</f>
        <v>4.7573861186100963E-4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451">
        <f>+entero!BG61</f>
        <v>0.83877061944691422</v>
      </c>
      <c r="BH17" s="124">
        <f>+entero!BH61</f>
        <v>0.83949165020422956</v>
      </c>
      <c r="BI17" s="124">
        <f>+entero!BI61</f>
        <v>0.83985214940832109</v>
      </c>
      <c r="BJ17" s="124">
        <f>+entero!BJ61</f>
        <v>0.84010874872942565</v>
      </c>
      <c r="BK17" s="452">
        <f>+entero!BK61</f>
        <v>0.8402461204273215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4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5">
        <f>+entero!BG62</f>
        <v>338.65319676090735</v>
      </c>
      <c r="BH19" s="68">
        <f>+entero!BH62</f>
        <v>337.82083392417263</v>
      </c>
      <c r="BI19" s="68">
        <f>+entero!BI62</f>
        <v>337.74901448685483</v>
      </c>
      <c r="BJ19" s="68">
        <f>+entero!BJ62</f>
        <v>342.66854762096551</v>
      </c>
      <c r="BK19" s="444">
        <f>+entero!BK62</f>
        <v>335.20516262679649</v>
      </c>
      <c r="BL19" s="75">
        <f>+entero!BL62</f>
        <v>-1.9639135801748466</v>
      </c>
      <c r="BM19" s="106">
        <f>+entero!BM62</f>
        <v>-5.8247144200416212E-3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451">
        <f>+entero!BG63</f>
        <v>0.72972908559576533</v>
      </c>
      <c r="BH20" s="124">
        <f>+entero!BH63</f>
        <v>0.72546725440805893</v>
      </c>
      <c r="BI20" s="124">
        <f>+entero!BI63</f>
        <v>0.72671754346799611</v>
      </c>
      <c r="BJ20" s="124">
        <f>+entero!BJ63</f>
        <v>0.70868958224784961</v>
      </c>
      <c r="BK20" s="452">
        <f>+entero!BK63</f>
        <v>0.72435172518505164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4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5">
        <f>+entero!BG64</f>
        <v>2338.6418446720118</v>
      </c>
      <c r="BH22" s="68">
        <f>+entero!BH64</f>
        <v>2337.2554693615157</v>
      </c>
      <c r="BI22" s="68">
        <f>+entero!BI64</f>
        <v>2332.3825176078717</v>
      </c>
      <c r="BJ22" s="68">
        <f>+entero!BJ64</f>
        <v>2331.3598350597667</v>
      </c>
      <c r="BK22" s="444">
        <f>+entero!BK64</f>
        <v>2336.4120532653064</v>
      </c>
      <c r="BL22" s="75">
        <f>+entero!BL64</f>
        <v>-17.480959854226967</v>
      </c>
      <c r="BM22" s="106">
        <f>+entero!BM64</f>
        <v>-7.4264037306691622E-3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451">
        <f>+entero!BG65</f>
        <v>0.73827655570014039</v>
      </c>
      <c r="BH23" s="124">
        <f>+entero!BH65</f>
        <v>0.73872290792617967</v>
      </c>
      <c r="BI23" s="124">
        <f>+entero!BI65</f>
        <v>0.73999429171945563</v>
      </c>
      <c r="BJ23" s="124">
        <f>+entero!BJ65</f>
        <v>0.73968908419272139</v>
      </c>
      <c r="BK23" s="452">
        <f>+entero!BK65</f>
        <v>0.73893363061340955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4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197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5">
        <f>+entero!BG67</f>
        <v>2061.579571106095</v>
      </c>
      <c r="BH25" s="68">
        <f>+entero!BH67</f>
        <v>2078.2898419864564</v>
      </c>
      <c r="BI25" s="68">
        <f>+entero!BI67</f>
        <v>2070.6839729119638</v>
      </c>
      <c r="BJ25" s="68">
        <f>+entero!BJ67</f>
        <v>2104.3633182844246</v>
      </c>
      <c r="BK25" s="444">
        <f>+entero!BK67</f>
        <v>2196.0041760722347</v>
      </c>
      <c r="BL25" s="75">
        <f>+entero!BL67</f>
        <v>229.61659142212147</v>
      </c>
      <c r="BM25" s="106">
        <f>+entero!BM67</f>
        <v>0.11677076951387377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5">
        <f>+entero!BG68</f>
        <v>560.37257336343112</v>
      </c>
      <c r="BH26" s="68">
        <f>+entero!BH68</f>
        <v>576.10632054176074</v>
      </c>
      <c r="BI26" s="68">
        <f>+entero!BI68</f>
        <v>570.02697516930027</v>
      </c>
      <c r="BJ26" s="68">
        <f>+entero!BJ68</f>
        <v>601.58081264108353</v>
      </c>
      <c r="BK26" s="444">
        <f>+entero!BK68</f>
        <v>694.11681715575628</v>
      </c>
      <c r="BL26" s="75">
        <f>+entero!BL68</f>
        <v>228.04187358916482</v>
      </c>
      <c r="BM26" s="106">
        <f>+entero!BM68</f>
        <v>0.48928155597487688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5">
        <f>+entero!BG69</f>
        <v>283.75011286681718</v>
      </c>
      <c r="BH27" s="68">
        <f>+entero!BH69</f>
        <v>285.6620767494357</v>
      </c>
      <c r="BI27" s="68">
        <f>+entero!BI69</f>
        <v>285.66873589164783</v>
      </c>
      <c r="BJ27" s="68">
        <f>+entero!BJ69</f>
        <v>285.67539503386007</v>
      </c>
      <c r="BK27" s="444">
        <f>+entero!BK69</f>
        <v>285.68250564334085</v>
      </c>
      <c r="BL27" s="75">
        <f>+entero!BL69</f>
        <v>1.9532731376974652</v>
      </c>
      <c r="BM27" s="106">
        <f>+entero!BM69</f>
        <v>6.8842858398758811E-3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5">
        <f>+entero!BG70</f>
        <v>551.03498871331828</v>
      </c>
      <c r="BH28" s="68">
        <f>+entero!BH70</f>
        <v>569.9548532731377</v>
      </c>
      <c r="BI28" s="68">
        <f>+entero!BI70</f>
        <v>568.41489841986458</v>
      </c>
      <c r="BJ28" s="68">
        <f>+entero!BJ70</f>
        <v>570.53476297968416</v>
      </c>
      <c r="BK28" s="444">
        <f>+entero!BK70</f>
        <v>569.63194130925513</v>
      </c>
      <c r="BL28" s="75">
        <f>+entero!BL70</f>
        <v>19.494243792325165</v>
      </c>
      <c r="BM28" s="106">
        <f>+entero!BM70</f>
        <v>3.5435208094833914E-2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5">
        <f>+entero!BG71</f>
        <v>666.42189616252836</v>
      </c>
      <c r="BH29" s="68">
        <f>+entero!BH71</f>
        <v>646.56659142212209</v>
      </c>
      <c r="BI29" s="68">
        <f>+entero!BI71</f>
        <v>646.57336343115117</v>
      </c>
      <c r="BJ29" s="68">
        <f>+entero!BJ71</f>
        <v>646.57234762979681</v>
      </c>
      <c r="BK29" s="444">
        <f>+entero!BK71</f>
        <v>646.57291196388258</v>
      </c>
      <c r="BL29" s="75">
        <f>+entero!BL71</f>
        <v>-19.872799097065581</v>
      </c>
      <c r="BM29" s="106">
        <f>+entero!BM71</f>
        <v>-2.9819081685482085E-2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5">
        <f>+entero!BG72</f>
        <v>542.72979683972915</v>
      </c>
      <c r="BH30" s="68">
        <f>+entero!BH72</f>
        <v>580.06647855530468</v>
      </c>
      <c r="BI30" s="68">
        <f>+entero!BI72</f>
        <v>577.32381489841998</v>
      </c>
      <c r="BJ30" s="68">
        <f>+entero!BJ72</f>
        <v>609.98702031602716</v>
      </c>
      <c r="BK30" s="444">
        <f>+entero!BK72</f>
        <v>705.51557562076755</v>
      </c>
      <c r="BL30" s="75">
        <f>+entero!BL72</f>
        <v>273.19582392776522</v>
      </c>
      <c r="BM30" s="106">
        <f>+entero!BM72</f>
        <v>0.63193000749539263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5">
        <f>+entero!BG73</f>
        <v>371.54537246049665</v>
      </c>
      <c r="BH31" s="68">
        <f>+entero!BH73</f>
        <v>387.09356659142207</v>
      </c>
      <c r="BI31" s="68">
        <f>+entero!BI73</f>
        <v>380.97313769751702</v>
      </c>
      <c r="BJ31" s="68">
        <f>+entero!BJ73</f>
        <v>416.40722347629793</v>
      </c>
      <c r="BK31" s="444">
        <f>+entero!BK73</f>
        <v>514.15428893905198</v>
      </c>
      <c r="BL31" s="75">
        <f>+entero!BL73</f>
        <v>250.43137697516931</v>
      </c>
      <c r="BM31" s="106">
        <f>+entero!BM73</f>
        <v>0.94960037832991295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5">
        <f>+entero!BG74</f>
        <v>171.18442437923252</v>
      </c>
      <c r="BH32" s="68">
        <f>+entero!BH74</f>
        <v>192.97291196388267</v>
      </c>
      <c r="BI32" s="68">
        <f>+entero!BI74</f>
        <v>196.35067720090294</v>
      </c>
      <c r="BJ32" s="68">
        <f>+entero!BJ74</f>
        <v>193.5797968397292</v>
      </c>
      <c r="BK32" s="444">
        <f>+entero!BK74</f>
        <v>191.36128668171563</v>
      </c>
      <c r="BL32" s="75">
        <f>+entero!BL74</f>
        <v>22.764446952595961</v>
      </c>
      <c r="BM32" s="106">
        <f>+entero!BM74</f>
        <v>0.13502297545535868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3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198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5">
        <f>+entero!BG76</f>
        <v>11274.433419431536</v>
      </c>
      <c r="BH34" s="68">
        <f>+entero!BH76</f>
        <v>11263.629333629786</v>
      </c>
      <c r="BI34" s="68">
        <f>+entero!BI76</f>
        <v>11255.767029039405</v>
      </c>
      <c r="BJ34" s="68">
        <f>+entero!BJ76</f>
        <v>11259.397330097716</v>
      </c>
      <c r="BK34" s="444">
        <f>+entero!BK76</f>
        <v>11265.847295449026</v>
      </c>
      <c r="BL34" s="75">
        <f>+entero!BL76</f>
        <v>-31.127459616620399</v>
      </c>
      <c r="BM34" s="106">
        <f>+entero!BM76</f>
        <v>-2.7553801164920122E-3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451">
        <f>+entero!BG77</f>
        <v>0.81658201741856296</v>
      </c>
      <c r="BH35" s="124">
        <f>+entero!BH77</f>
        <v>0.81656146409166108</v>
      </c>
      <c r="BI35" s="124">
        <f>+entero!BI77</f>
        <v>0.81669138905067373</v>
      </c>
      <c r="BJ35" s="124">
        <f>+entero!BJ77</f>
        <v>0.8168966232689272</v>
      </c>
      <c r="BK35" s="452">
        <f>+entero!BK77</f>
        <v>0.81718708359760062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7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451">
        <f>+entero!BG78</f>
        <v>0.83603174685707804</v>
      </c>
      <c r="BH36" s="124">
        <f>+entero!BH78</f>
        <v>0.83602980429957041</v>
      </c>
      <c r="BI36" s="124">
        <f>+entero!BI78</f>
        <v>0.83617676775405825</v>
      </c>
      <c r="BJ36" s="124">
        <f>+entero!BJ78</f>
        <v>0.83638048578684554</v>
      </c>
      <c r="BK36" s="452">
        <f>+entero!BK78</f>
        <v>0.83666647865645183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5">
        <f>+entero!BG79</f>
        <v>8964.3492627668129</v>
      </c>
      <c r="BH37" s="68">
        <f>+entero!BH79</f>
        <v>8955.4646482376575</v>
      </c>
      <c r="BI37" s="68">
        <f>+entero!BI79</f>
        <v>8950.1113440831359</v>
      </c>
      <c r="BJ37" s="68">
        <f>+entero!BJ79</f>
        <v>8955.4203915656472</v>
      </c>
      <c r="BK37" s="444">
        <f>+entero!BK79</f>
        <v>8960.9282110831373</v>
      </c>
      <c r="BL37" s="75">
        <f>+entero!BL79</f>
        <v>-18.868437514580364</v>
      </c>
      <c r="BM37" s="106">
        <f>+entero!BM79</f>
        <v>-2.1012098884808372E-3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125">
        <f>+entero!BG80</f>
        <v>2310.0841566647227</v>
      </c>
      <c r="BH38" s="126">
        <f>+entero!BH80</f>
        <v>2308.1646853921279</v>
      </c>
      <c r="BI38" s="126">
        <f>+entero!BI80</f>
        <v>2305.6556849562685</v>
      </c>
      <c r="BJ38" s="126">
        <f>+entero!BJ80</f>
        <v>2303.9769385320697</v>
      </c>
      <c r="BK38" s="445">
        <f>+entero!BK80</f>
        <v>2304.9190843658885</v>
      </c>
      <c r="BL38" s="125">
        <f>+entero!BL80</f>
        <v>-12.25902210204049</v>
      </c>
      <c r="BM38" s="141">
        <f>+entero!BM80</f>
        <v>-5.2904962582815962E-3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6</v>
      </c>
      <c r="D44" s="1" t="s">
        <v>212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M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65" t="str">
        <f>+entero!BF3</f>
        <v>2013                          A  fines de May*</v>
      </c>
      <c r="BG3" s="669" t="str">
        <f>+entero!BG3</f>
        <v xml:space="preserve">   Semana 1*</v>
      </c>
      <c r="BH3" s="670"/>
      <c r="BI3" s="670"/>
      <c r="BJ3" s="670"/>
      <c r="BK3" s="671"/>
      <c r="BL3" s="667" t="s">
        <v>42</v>
      </c>
      <c r="BM3" s="668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73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267">
        <f>+entero!BG4</f>
        <v>41428</v>
      </c>
      <c r="BH4" s="447">
        <f>+entero!BH4</f>
        <v>41429</v>
      </c>
      <c r="BI4" s="447">
        <f>+entero!BI4</f>
        <v>41430</v>
      </c>
      <c r="BJ4" s="447">
        <f>+entero!BJ4</f>
        <v>41431</v>
      </c>
      <c r="BK4" s="448">
        <f>+entero!BK4</f>
        <v>41432</v>
      </c>
      <c r="BL4" s="269" t="s">
        <v>25</v>
      </c>
      <c r="BM4" s="270" t="s">
        <v>103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2">
        <f>+entero!BG84</f>
        <v>6.9380892850277576</v>
      </c>
      <c r="BH8" s="112">
        <f>+entero!BH84</f>
        <v>6.9302428868871964</v>
      </c>
      <c r="BI8" s="112">
        <f>+entero!BI84</f>
        <v>6.9424353726760515</v>
      </c>
      <c r="BJ8" s="112">
        <f>+entero!BJ84</f>
        <v>6.9326433584405578</v>
      </c>
      <c r="BK8" s="112">
        <f>+entero!BK84</f>
        <v>6.9325689786548281</v>
      </c>
      <c r="BL8" s="93">
        <f>+entero!BL84</f>
        <v>-8.1569018120726255E-3</v>
      </c>
      <c r="BM8" s="104">
        <f>+entero!BM84</f>
        <v>-1.1752231614604591E-3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32">
        <f>+entero!BG86</f>
        <v>1.83761</v>
      </c>
      <c r="BH10" s="32">
        <f>+entero!BH86</f>
        <v>1.83786</v>
      </c>
      <c r="BI10" s="32">
        <f>+entero!BI86</f>
        <v>1.8381099999999999</v>
      </c>
      <c r="BJ10" s="32">
        <f>+entero!BJ86</f>
        <v>1.83836</v>
      </c>
      <c r="BK10" s="32">
        <f>+entero!BK86</f>
        <v>1.8386100000000001</v>
      </c>
      <c r="BL10" s="93">
        <f>+entero!BL86</f>
        <v>1.7500000000001403E-3</v>
      </c>
      <c r="BM10" s="104">
        <f>+entero!BM86</f>
        <v>9.5271278159470008E-4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41437.44608530093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E3:BE4"/>
    <mergeCell ref="BB3:BB4"/>
    <mergeCell ref="AW3:AW4"/>
    <mergeCell ref="AX3:AX4"/>
    <mergeCell ref="AY3:AY4"/>
    <mergeCell ref="AZ3:AZ4"/>
    <mergeCell ref="BD3:BD4"/>
    <mergeCell ref="AQ3:AQ4"/>
    <mergeCell ref="AR3:AR4"/>
    <mergeCell ref="AS3:AS4"/>
    <mergeCell ref="AU3:AU4"/>
    <mergeCell ref="AV3:AV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BF3:BF4"/>
    <mergeCell ref="AT3:AT4"/>
    <mergeCell ref="AO3:AO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AU38" sqref="AU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2"/>
      <c r="BH5" s="37"/>
      <c r="BI5" s="37"/>
      <c r="BJ5" s="37"/>
      <c r="BK5" s="443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4278.8784477999998</v>
      </c>
      <c r="BG6" s="75">
        <f>+entero!BG89</f>
        <v>4281.1003989700002</v>
      </c>
      <c r="BH6" s="68">
        <f>+entero!BH89</f>
        <v>4292.9828457599997</v>
      </c>
      <c r="BI6" s="68">
        <f>+entero!BI89</f>
        <v>4294.2115668300003</v>
      </c>
      <c r="BJ6" s="68">
        <f>+entero!BJ89</f>
        <v>4295.6276592000004</v>
      </c>
      <c r="BK6" s="444">
        <f>+entero!BK89</f>
        <v>4299.5777234500001</v>
      </c>
      <c r="BL6" s="14">
        <f>+entero!BL89</f>
        <v>20.699275650000345</v>
      </c>
      <c r="BM6" s="104">
        <f>+entero!BM89</f>
        <v>4.837547012031429E-3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3056.61824824</v>
      </c>
      <c r="BG7" s="75">
        <f>+entero!BG90</f>
        <v>3058.50979628</v>
      </c>
      <c r="BH7" s="68">
        <f>+entero!BH90</f>
        <v>3069.9500890200002</v>
      </c>
      <c r="BI7" s="68">
        <f>+entero!BI90</f>
        <v>3071.1248173600002</v>
      </c>
      <c r="BJ7" s="68">
        <f>+entero!BJ90</f>
        <v>3072.5127949100001</v>
      </c>
      <c r="BK7" s="444">
        <f>+entero!BK90</f>
        <v>3075.57460911</v>
      </c>
      <c r="BL7" s="14">
        <f>+entero!BL90</f>
        <v>18.956360870000026</v>
      </c>
      <c r="BM7" s="104">
        <f>+entero!BM90</f>
        <v>6.2017430148220143E-3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5">
        <f>+entero!BG91</f>
        <v>722.59060268999997</v>
      </c>
      <c r="BH8" s="68">
        <f>+entero!BH91</f>
        <v>723.03275673999997</v>
      </c>
      <c r="BI8" s="68">
        <f>+entero!BI91</f>
        <v>723.08674947000009</v>
      </c>
      <c r="BJ8" s="68">
        <f>+entero!BJ91</f>
        <v>723.11486429000001</v>
      </c>
      <c r="BK8" s="444">
        <f>+entero!BK91</f>
        <v>724.00311433999991</v>
      </c>
      <c r="BL8" s="14">
        <f>+entero!BL91</f>
        <v>1.7429147799998645</v>
      </c>
      <c r="BM8" s="104">
        <f>+entero!BM91</f>
        <v>2.4131397259070653E-3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4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4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5">
        <f>+entero!BG94</f>
        <v>2866.9408480575648</v>
      </c>
      <c r="BH11" s="68">
        <f>+entero!BH94</f>
        <v>2866.9408480575648</v>
      </c>
      <c r="BI11" s="68">
        <f>+entero!BI94</f>
        <v>2866.9408480575648</v>
      </c>
      <c r="BJ11" s="68">
        <f>+entero!BJ94</f>
        <v>2866.9408480575648</v>
      </c>
      <c r="BK11" s="444">
        <f>+entero!BK94</f>
        <v>2868.1855000657652</v>
      </c>
      <c r="BL11" s="14">
        <f>+entero!BL94</f>
        <v>1.244652008200319</v>
      </c>
      <c r="BM11" s="104">
        <f>+entero!BM94</f>
        <v>4.3413940997205636E-4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5">
        <f>+entero!BG95</f>
        <v>1672.8119241982506</v>
      </c>
      <c r="BH12" s="68">
        <f>+entero!BH95</f>
        <v>1672.8119241982506</v>
      </c>
      <c r="BI12" s="68">
        <f>+entero!BI95</f>
        <v>1672.8119241982506</v>
      </c>
      <c r="BJ12" s="68">
        <f>+entero!BJ95</f>
        <v>1672.8119241982506</v>
      </c>
      <c r="BK12" s="444">
        <f>+entero!BK95</f>
        <v>1673.814475218659</v>
      </c>
      <c r="BL12" s="14">
        <f>+entero!BL95</f>
        <v>1.0025510204084185</v>
      </c>
      <c r="BM12" s="104">
        <f>+entero!BM95</f>
        <v>5.9932082376135121E-4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125">
        <f>+entero!BG96</f>
        <v>2030.7471590379007</v>
      </c>
      <c r="BH13" s="126">
        <f>+entero!BH96</f>
        <v>2030.7471590379007</v>
      </c>
      <c r="BI13" s="126">
        <f>+entero!BI96</f>
        <v>2030.7471590379007</v>
      </c>
      <c r="BJ13" s="126">
        <f>+entero!BJ96</f>
        <v>2030.7471590379007</v>
      </c>
      <c r="BK13" s="445">
        <f>+entero!BK96</f>
        <v>2017.9467563788696</v>
      </c>
      <c r="BL13" s="80">
        <f>+entero!BL96</f>
        <v>-12.800402659031079</v>
      </c>
      <c r="BM13" s="142">
        <f>+entero!BM96</f>
        <v>-6.3032970904637331E-3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16" t="s">
        <v>208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AY3:AY4"/>
    <mergeCell ref="AZ3:AZ4"/>
    <mergeCell ref="BA3:BA4"/>
    <mergeCell ref="BB3:BB4"/>
    <mergeCell ref="BE3:BE4"/>
    <mergeCell ref="BC3:BC4"/>
    <mergeCell ref="BD3:BD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22" sqref="BO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4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205"/>
      <c r="BH5" s="205"/>
      <c r="BI5" s="205"/>
      <c r="BJ5" s="205"/>
      <c r="BK5" s="439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4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40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4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40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4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40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4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40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49"/>
      <c r="C10" s="18" t="s">
        <v>3</v>
      </c>
      <c r="D10" s="122" t="s">
        <v>217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40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4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40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4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40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4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40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40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40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40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215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40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1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2013-06-11T20:34:15Z</cp:lastPrinted>
  <dcterms:created xsi:type="dcterms:W3CDTF">2002-08-27T17:11:09Z</dcterms:created>
  <dcterms:modified xsi:type="dcterms:W3CDTF">2013-06-12T14:42:50Z</dcterms:modified>
</cp:coreProperties>
</file>